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<sst xmlns="http://schemas.openxmlformats.org/spreadsheetml/2006/main" count="435" uniqueCount="295">
  <si>
    <t xml:space="preserve">Abschätzung von Anlagengröße und Kosten für ein Heliogaia-Wärmenetz in Ihrem Ort; halbjährige Heizperiode (183 Tage), Warmwasser ganzjährig; voreingestellte Zahlen für Cottbus/Lausitz, Speicher mit offener Wasserbeschickung über Brunnen</t>
  </si>
  <si>
    <t xml:space="preserve">Stand der Analyse</t>
  </si>
  <si>
    <t xml:space="preserve">Gruppe</t>
  </si>
  <si>
    <t xml:space="preserve">Größe</t>
  </si>
  <si>
    <t xml:space="preserve">Wert</t>
  </si>
  <si>
    <t xml:space="preserve">Einheit</t>
  </si>
  <si>
    <t xml:space="preserve">Abschreibung in a</t>
  </si>
  <si>
    <t xml:space="preserve">Quelle/ Bemerkung</t>
  </si>
  <si>
    <t xml:space="preserve">Eingaben:</t>
  </si>
  <si>
    <t xml:space="preserve">Grunddaten</t>
  </si>
  <si>
    <t xml:space="preserve">Anschließerzahl</t>
  </si>
  <si>
    <t xml:space="preserve">Personen</t>
  </si>
  <si>
    <t xml:space="preserve">https://de.wikipedia.org/wiki/Cottbus</t>
  </si>
  <si>
    <t xml:space="preserve">80% Anschließer von 100.010 gesetzt</t>
  </si>
  <si>
    <t xml:space="preserve">in blaue Felder setzen</t>
  </si>
  <si>
    <t xml:space="preserve">Erschließungsgebiet, anzuschließende Siedlungsfläche</t>
  </si>
  <si>
    <t xml:space="preserve">km²</t>
  </si>
  <si>
    <t xml:space="preserve">https://www.geoportal.de/map.html</t>
  </si>
  <si>
    <t xml:space="preserve">dort „Werkzeuge“ wählen, komplette reine Siedlungsfläche scannen</t>
  </si>
  <si>
    <t xml:space="preserve">hell→hohe Kostenwirkung</t>
  </si>
  <si>
    <t xml:space="preserve">mittlere Wohnfläche pro Kopf</t>
  </si>
  <si>
    <t xml:space="preserve">m²/Kopf</t>
  </si>
  <si>
    <r>
      <rPr>
        <sz val="8"/>
        <rFont val="Liberation Sans Narrow"/>
        <family val="2"/>
      </rPr>
      <t xml:space="preserve">[</t>
    </r>
    <r>
      <rPr>
        <sz val="8"/>
        <color rgb="FF0000FF"/>
        <rFont val="Liberation Sans Narrow"/>
        <family val="2"/>
      </rPr>
      <t xml:space="preserve">32</t>
    </r>
    <r>
      <rPr>
        <sz val="8"/>
        <rFont val="Liberation Sans Narrow"/>
        <family val="2"/>
      </rPr>
      <t xml:space="preserve">] ; S.300 </t>
    </r>
  </si>
  <si>
    <t xml:space="preserve">Anteil der Nichtwohngebäude am Endenergieverbrauch</t>
  </si>
  <si>
    <t xml:space="preserve">%</t>
  </si>
  <si>
    <t xml:space="preserve">https://www.dena.de/infocenter/dena-gebaeudereport-2024/</t>
  </si>
  <si>
    <t xml:space="preserve">S.61</t>
  </si>
  <si>
    <t xml:space="preserve">Bedarf</t>
  </si>
  <si>
    <t xml:space="preserve">mittlerer gesamter Wärmeverbrauch aller beheizten Gebäude pro Jahr und m²</t>
  </si>
  <si>
    <t xml:space="preserve">kWh/a/m²</t>
  </si>
  <si>
    <t xml:space="preserve">https://www.heizspiegel.de/fileadmin/hs/heizspiegel-2023/heizspiegel-2023-flyer.pdf</t>
  </si>
  <si>
    <t xml:space="preserve">80 ist Zielwert nach moderater energetischer Sanierung aller Gebäude, aktuell ca. 150</t>
  </si>
  <si>
    <t xml:space="preserve">darin: Endenergieverbrauch nur für Warmwasser (Wohn-&amp;Nichtwohngebäude) pro Kopf</t>
  </si>
  <si>
    <t xml:space="preserve">kWh/a/Kopf</t>
  </si>
  <si>
    <t xml:space="preserve">https://www.dena.de/fileadmin/dena/Dokumente/Pdf/9254_Gebaeudereport_dena_kompakt_2018.pdf</t>
  </si>
  <si>
    <t xml:space="preserve">S.18</t>
  </si>
  <si>
    <t xml:space="preserve">Aufkommen</t>
  </si>
  <si>
    <t xml:space="preserve">im Gebiet anfallende Abwärme bei hier nutzbaren Temperaturen</t>
  </si>
  <si>
    <t xml:space="preserve">kWh/a</t>
  </si>
  <si>
    <t xml:space="preserve">falls unbekannt, vorerst Null einsetzen</t>
  </si>
  <si>
    <t xml:space="preserve">hier kann auch ergänzendes HKW simuliert werden, Preis in D54 einsetzen</t>
  </si>
  <si>
    <t xml:space="preserve">nutzbare innerörtliche Fläche für thermische Kollektoren</t>
  </si>
  <si>
    <t xml:space="preserve">m²</t>
  </si>
  <si>
    <t xml:space="preserve">gesetzt, nach [5], S.215: sind es 1.577.500 m²</t>
  </si>
  <si>
    <t xml:space="preserve">Dächer und Fassaden der Gebäude, Böschungen, Zäune, Flächen-Überdachungen</t>
  </si>
  <si>
    <t xml:space="preserve">Anteil direkter Wärmeversorgung, am Saisonspeicher vorbei</t>
  </si>
  <si>
    <t xml:space="preserve">vorsichtig geschätzt, aus Erfahrung und früheren Berechnungen ergeben sich 45…50%</t>
  </si>
  <si>
    <t xml:space="preserve">Warmwasser außer November bis Februar, Heizung zur Übergangszeit</t>
  </si>
  <si>
    <t xml:space="preserve">Verluste</t>
  </si>
  <si>
    <t xml:space="preserve">Verluste im Wärmenetz</t>
  </si>
  <si>
    <t xml:space="preserve">https://dme-consult.de/images/energiewende/forschungentwicklung/WEB-240301_LoCarDi_Grosswaermepumpen_in_der_Fernwaermeversorgung.pdf</t>
  </si>
  <si>
    <t xml:space="preserve">S.11 f</t>
  </si>
  <si>
    <t xml:space="preserve">Verluste im Kollektorfeld durch Netz und Verschattung</t>
  </si>
  <si>
    <t xml:space="preserve">(3+3,7)% gesetzt, gerechnet in https://heliogaia.de/t/optimierung_kollektorertrag_2.ods</t>
  </si>
  <si>
    <t xml:space="preserve">Verluste an den Kollektoren durch Alterung und Verschmutzung</t>
  </si>
  <si>
    <t xml:space="preserve">gesetzt</t>
  </si>
  <si>
    <t xml:space="preserve">↓</t>
  </si>
  <si>
    <t xml:space="preserve">Verluste aus Saisonspeicher</t>
  </si>
  <si>
    <r>
      <rPr>
        <sz val="9"/>
        <rFont val="Liberation Sans Narrow"/>
        <family val="2"/>
      </rPr>
      <t xml:space="preserve">gesetzt; vgl. Zelle D88 und Rechnung für Zylindermodell </t>
    </r>
    <r>
      <rPr>
        <sz val="9"/>
        <color rgb="FF0000FF"/>
        <rFont val="Liberation Sans Narrow"/>
        <family val="2"/>
      </rPr>
      <t xml:space="preserve">https://heliogaia.de/t/zylindermodell007.ods</t>
    </r>
  </si>
  <si>
    <t xml:space="preserve">nach erstem Rechendurchlauf aus Zelle D88 hierher eintragen</t>
  </si>
  <si>
    <t xml:space="preserve">Verluste durch Wärmetauscher</t>
  </si>
  <si>
    <t xml:space="preserve">gut isolierte Wärmetauscher bringen kaum Energieverlust, hingegen Temperaturverlust, Exergieverlust</t>
  </si>
  <si>
    <t xml:space="preserve">Kollektoren</t>
  </si>
  <si>
    <t xml:space="preserve">Globalstrahlung Würzburg (Standort für Kollektorvergleich,Keymark),langjähriges Mittel</t>
  </si>
  <si>
    <t xml:space="preserve">kWh/m²</t>
  </si>
  <si>
    <t xml:space="preserve"> </t>
  </si>
  <si>
    <t xml:space="preserve">https://www.dwd.de/DE/leistungen/solarenergie/strahlungskarten_mvs.html?nn=16102</t>
  </si>
  <si>
    <t xml:space="preserve">Globalstrahlung am Projektort, langjähriges Mittel</t>
  </si>
  <si>
    <t xml:space="preserve">1991 – 2020</t>
  </si>
  <si>
    <t xml:space="preserve">Einschub:</t>
  </si>
  <si>
    <t xml:space="preserve">Ergebnisfeld</t>
  </si>
  <si>
    <t xml:space="preserve">mögl.tägliche Maximalstrahlung pro m² optimal orientierte Kollektorfläche am Projektort</t>
  </si>
  <si>
    <t xml:space="preserve">kWh/d/m²</t>
  </si>
  <si>
    <t xml:space="preserve">https://www.dwd.de/DE/leistungen/solarenergie/strahlungskarten_sum.html?nn=16102</t>
  </si>
  <si>
    <t xml:space="preserve">geschätzt nach Quelle; z.B. Cottbus, Juni 2019: 224kWh/m²/30d=7,5 kWh/d/m²</t>
  </si>
  <si>
    <t xml:space="preserve">Kollektorfläche m²</t>
  </si>
  <si>
    <t xml:space="preserve">Jahresertrag Röhrenkollektoren, Würzburg bei T=75°C: Ritter CPC XL 1921</t>
  </si>
  <si>
    <t xml:space="preserve">https://solarkeymark.eu/database/</t>
  </si>
  <si>
    <t xml:space="preserve">dort Kennzeichen eingeben: 011-7S1950R; S.2 Annual output per m2 gross area</t>
  </si>
  <si>
    <t xml:space="preserve">Speichervol. m³</t>
  </si>
  <si>
    <t xml:space="preserve">Jahresertrag Flachkollektoren, Würzburg bei T=50°C: Solimpeks ALS 2512 </t>
  </si>
  <si>
    <t xml:space="preserve">dort Kennzeichen eingeben: 011-7S1941F; S.2 Gross Thermal Yield per m² gross area</t>
  </si>
  <si>
    <t xml:space="preserve">Koll-fläche m²/Kopf</t>
  </si>
  <si>
    <t xml:space="preserve">Jahresertrag an Wärme für wärmeoptimierte PVT-Kollektoren, Würzburg bei T=50°C</t>
  </si>
  <si>
    <t xml:space="preserve">abgeschätzt nach https://www.pvt.solar/hybridkollektor/uebersicht u.a.</t>
  </si>
  <si>
    <t xml:space="preserve">thermisch optimiert, d.h. wie Flachkollektor, nur mit PV-Modul als Absorber</t>
  </si>
  <si>
    <t xml:space="preserve">Speichervol.m³/Kopf</t>
  </si>
  <si>
    <t xml:space="preserve">Jahresertrag an Strom für wärmeoptimierte PVT-Kollektoren, Würzburg bei T=50°C</t>
  </si>
  <si>
    <t xml:space="preserve">erwartete Einbußen aus Alterung und Verschmutzung sind hier abgezogen</t>
  </si>
  <si>
    <t xml:space="preserve">Produktion muss organisiert werden</t>
  </si>
  <si>
    <t xml:space="preserve">Netzlänge m/Kopf</t>
  </si>
  <si>
    <t xml:space="preserve">Bruttopreis der eingesetzten Röhrenkollektoren: Ritter CPC XL 1921</t>
  </si>
  <si>
    <t xml:space="preserve">€/m²</t>
  </si>
  <si>
    <r>
      <rPr>
        <sz val="9"/>
        <rFont val="Liberation Sans Narrow"/>
        <family val="2"/>
      </rPr>
      <t xml:space="preserve">BruttoPreis aus: </t>
    </r>
    <r>
      <rPr>
        <sz val="9"/>
        <color rgb="FF0000FF"/>
        <rFont val="Liberation Sans Narrow"/>
        <family val="2"/>
      </rPr>
      <t xml:space="preserve">https://heliogaia.de/k/CPC_XL1921.jpg</t>
    </r>
  </si>
  <si>
    <t xml:space="preserve">https://heliogaia.de/k/kollektorvergleich.pdf</t>
  </si>
  <si>
    <t xml:space="preserve">Gesamtverluste %</t>
  </si>
  <si>
    <t xml:space="preserve">Bruttopreis der eingesetzten Flachkollektoren: Solimpeks ALS 2512 </t>
  </si>
  <si>
    <r>
      <rPr>
        <sz val="9"/>
        <rFont val="Liberation Sans Narrow"/>
        <family val="2"/>
      </rPr>
      <t xml:space="preserve">BruttoPreis für 4,84 m² aus: </t>
    </r>
    <r>
      <rPr>
        <sz val="9"/>
        <color rgb="FF0000FF"/>
        <rFont val="Liberation Sans Narrow"/>
        <family val="2"/>
      </rPr>
      <t xml:space="preserve">https://heliogaia.de/k/Solimpeks_ALS_251.jpg</t>
    </r>
  </si>
  <si>
    <t xml:space="preserve">Investition €/a/Kopf</t>
  </si>
  <si>
    <t xml:space="preserve">Bruttopreis der eingesetzten wärmeoptimierten PVT-Kollektoren</t>
  </si>
  <si>
    <t xml:space="preserve">https://www.solaranlagen-portal.de/solarenergie-komponenten/hybridkollektor-pvt-kollektor</t>
  </si>
  <si>
    <t xml:space="preserve">https://www.solaranlage-ratgeber.de/solarthermie/solarthermie-wartung/lebensdauer-einer-solarthermieanlage</t>
  </si>
  <si>
    <t xml:space="preserve">lfd.Kosten €/a/Kopf</t>
  </si>
  <si>
    <t xml:space="preserve">Anteil an Röhrenkollektoren</t>
  </si>
  <si>
    <t xml:space="preserve">Rest, wird berechnet. Hier sollten wegen der hohen Ladetemperaturen des Speichers ca. 30% verbleiben.</t>
  </si>
  <si>
    <t xml:space="preserve">Kosten €/a/Kopf</t>
  </si>
  <si>
    <t xml:space="preserve">Anteil an Flachkollektoren</t>
  </si>
  <si>
    <t xml:space="preserve">gesetzt; stattdessen möglichst PVT verwenden</t>
  </si>
  <si>
    <t xml:space="preserve">Kosten €/Mon/Kopf</t>
  </si>
  <si>
    <t xml:space="preserve">Anteil an wärmeoptimierten PVT-Kollektoren</t>
  </si>
  <si>
    <t xml:space="preserve">gesetzt ; bei ca. 50°C nur wärmeoptimierte PVT einsetzbar</t>
  </si>
  <si>
    <t xml:space="preserve">Produktion organisieren</t>
  </si>
  <si>
    <t xml:space="preserve">Faktor zur Berechnung der benötigten Aufstellfläche für das externe Kollektorfeld</t>
  </si>
  <si>
    <t xml:space="preserve">https://heliogaia.de/t/optimierung_kollektorertrag_2.ods</t>
  </si>
  <si>
    <t xml:space="preserve">32° Kollektorneigung ist für Heliogaia optimal</t>
  </si>
  <si>
    <r>
      <rPr>
        <sz val="10"/>
        <rFont val="Liberation Sans Narrow"/>
        <family val="2"/>
      </rPr>
      <t xml:space="preserve">Installationskosten: Montage + Material</t>
    </r>
    <r>
      <rPr>
        <sz val="8"/>
        <rFont val="Liberation Sans Narrow"/>
        <family val="2"/>
      </rPr>
      <t xml:space="preserve"> (inklusive Pufferspeicher aber ohne die Kollektoren) </t>
    </r>
  </si>
  <si>
    <t xml:space="preserve">https://www.solaranlagen-portal.de/thermische-solaranlage/solarkollektor-preis.html</t>
  </si>
  <si>
    <t xml:space="preserve">Punkt 1.2: (1500+3000€)/16m², geringere Preise im Kollektorfeld hier pauschal berücksichtigen </t>
  </si>
  <si>
    <t xml:space="preserve">Mengenrabatt für Kollektoren und Installation</t>
  </si>
  <si>
    <t xml:space="preserve">üblicher Wert als Zuschlag bei Bauprojekten</t>
  </si>
  <si>
    <t xml:space="preserve">Bodenpreis Kollektorfeld und Speicher</t>
  </si>
  <si>
    <t xml:space="preserve">https://www.bodenrichtwerte-boris.de/boris-d/?lang=de</t>
  </si>
  <si>
    <t xml:space="preserve">Speicher</t>
  </si>
  <si>
    <t xml:space="preserve">volumenbezogene Wärmespeicherzahl s für Erdboden (s=c*ρ)</t>
  </si>
  <si>
    <t xml:space="preserve">kWh/m³/K </t>
  </si>
  <si>
    <t xml:space="preserve">https://www.lgb-rlp.de/fileadmin/service/lgb_downloads/boden/boden_themenheft_vorsorgender/tvb6_2024.pdf</t>
  </si>
  <si>
    <t xml:space="preserve">S. 19; 2200 kJ/m³/K</t>
  </si>
  <si>
    <t xml:space="preserve">Wärmeleitwert des Bodens der Speicherumgebung</t>
  </si>
  <si>
    <t xml:space="preserve">W/m/K</t>
  </si>
  <si>
    <t xml:space="preserve">https://www.schweizer-fn.de/stoff/wleit_isolierung/wleit_isolierung.php#wleitf_isolierung</t>
  </si>
  <si>
    <t xml:space="preserve">Wärmeleitwert trockenen sandigen Füllbodens</t>
  </si>
  <si>
    <t xml:space="preserve">mehrjährig gemittelte Lufttemperatur</t>
  </si>
  <si>
    <t xml:space="preserve">°C</t>
  </si>
  <si>
    <t xml:space="preserve">https://www.dwd.de/DE/leistungen/klimadatendeutschland/vielj_mittelwerte.html</t>
  </si>
  <si>
    <t xml:space="preserve">mehrjährig gemittelte Bodentemperatur ab 1m Tiefe </t>
  </si>
  <si>
    <t xml:space="preserve">Speichertemperatur (geladen)</t>
  </si>
  <si>
    <t xml:space="preserve">Speichertemperatur (entladen)</t>
  </si>
  <si>
    <t xml:space="preserve">Höhe der trockenen Füllbodenabdeckung des Speichers</t>
  </si>
  <si>
    <t xml:space="preserve">m</t>
  </si>
  <si>
    <t xml:space="preserve">Förder- und Schluckleistung pro Brunnen</t>
  </si>
  <si>
    <t xml:space="preserve">m³/h</t>
  </si>
  <si>
    <t xml:space="preserve">https://www.straelen.de/rathaus-politik/dienstleistungen/wasserversorgung/wasserversorgung/#accordion-1-3</t>
  </si>
  <si>
    <t xml:space="preserve">60m³/h bei Tagebauentwässerung, bestätigt in Gesprächen mit LEAG</t>
  </si>
  <si>
    <t xml:space="preserve">Kosten für Aushub+Erdbewegung</t>
  </si>
  <si>
    <t xml:space="preserve">€/m³</t>
  </si>
  <si>
    <t xml:space="preserve">Kosten für Abdeckmaterial (2 Folien + Geoflies, pro m²)</t>
  </si>
  <si>
    <t xml:space="preserve">Kosten für Dichtwand pro m²</t>
  </si>
  <si>
    <t xml:space="preserve">H.O.Buja,Ingenieurhandbuch Bergbautechnik,Beuth Verlag GmbH 2013, S. 679</t>
  </si>
  <si>
    <t xml:space="preserve">Bestätigt in Gesprächen mit LEAG</t>
  </si>
  <si>
    <t xml:space="preserve">Kosten für Brunnen und Bohrungen pro m</t>
  </si>
  <si>
    <t xml:space="preserve">€/m</t>
  </si>
  <si>
    <t xml:space="preserve">https://www.kesselheld.de/tiefenbohrung/</t>
  </si>
  <si>
    <t xml:space="preserve">35…70 €/m</t>
  </si>
  <si>
    <t xml:space="preserve">Kosten Technikgebäude am Speicherrand</t>
  </si>
  <si>
    <t xml:space="preserve">€</t>
  </si>
  <si>
    <t xml:space="preserve">Verteilernetz</t>
  </si>
  <si>
    <t xml:space="preserve">Kosten der Hauptverteilung, Kanal mit Rohren und Pumpen</t>
  </si>
  <si>
    <t xml:space="preserve">https://www.rheinwerke.de/files/FW-Schiene-Rheinland.pdf</t>
  </si>
  <si>
    <t xml:space="preserve">S.6</t>
  </si>
  <si>
    <t xml:space="preserve">Kosten der Unterverteilung, Kanal mit Rohren und Pumpen</t>
  </si>
  <si>
    <t xml:space="preserve">https://www.borderstep.de/wp-content/uploads/2014/07/Clausen-Kosten_-laendliche_-Waermenetze-2012.pdf</t>
  </si>
  <si>
    <t xml:space="preserve">S.7: 220 €/m; von 2008 inflationsbereinigt *1,38 in Jahr 2024</t>
  </si>
  <si>
    <t xml:space="preserve">Kosten eines Hausanschlusses pro Kopf</t>
  </si>
  <si>
    <t xml:space="preserve">€/Kopf</t>
  </si>
  <si>
    <t xml:space="preserve">S.6: 105€/kW; 221 €/Kopf; von 2008 inflationsbereinigt *1,38 in Jahr 2024</t>
  </si>
  <si>
    <t xml:space="preserve">Weiteres</t>
  </si>
  <si>
    <t xml:space="preserve">Kosten für Wärmetauscher</t>
  </si>
  <si>
    <t xml:space="preserve">€/kW</t>
  </si>
  <si>
    <t xml:space="preserve">https://nordictec-shop.eu/de/221-plattenwaermetauscher-waermeuebertragungsflaeche?resultsPerPage=99999</t>
  </si>
  <si>
    <t xml:space="preserve">Stromtarif, Bezug</t>
  </si>
  <si>
    <t xml:space="preserve">€/kWh</t>
  </si>
  <si>
    <t xml:space="preserve">Stromtarif, Einspeisung</t>
  </si>
  <si>
    <t xml:space="preserve">Abwärmepreis</t>
  </si>
  <si>
    <t xml:space="preserve">Kosten für Betrieb und Wartung</t>
  </si>
  <si>
    <t xml:space="preserve">€/a/Kopf</t>
  </si>
  <si>
    <t xml:space="preserve">https://www.heizspiegel.de/heizkosten-senken/heizungswartung/</t>
  </si>
  <si>
    <t xml:space="preserve">wie herkömmlich angenommen:160€ pro Haushalt mit durchschnittlich ca.2 Personen</t>
  </si>
  <si>
    <t xml:space="preserve">Nebenkosten der gesamten Anlage</t>
  </si>
  <si>
    <t xml:space="preserve">gesetzt; bauüblich</t>
  </si>
  <si>
    <t xml:space="preserve">Anlagengröße</t>
  </si>
  <si>
    <t xml:space="preserve">benötigte Endenergie für Heizung+Warmwasser (Wohn-&amp;Nichtwohngebäude)</t>
  </si>
  <si>
    <t xml:space="preserve">wird erstellt aus Wärmequellen nach folgender Prioritätenliste:</t>
  </si>
  <si>
    <t xml:space="preserve"> 1. Abwärme; 2. innerstädtische Kollektoren; 3. externes Kollektorfeld</t>
  </si>
  <si>
    <t xml:space="preserve">wird berechnet</t>
  </si>
  <si>
    <t xml:space="preserve">benötigte Endenergie für Heizung+Warmwasser (Wohn-&amp;Nichtwohngebäude) pro Kopf</t>
  </si>
  <si>
    <t xml:space="preserve">maximal nötige Wärmeleistung, Auslegungsleistung</t>
  </si>
  <si>
    <t xml:space="preserve">kW </t>
  </si>
  <si>
    <t xml:space="preserve">Faktor 2 für besonders kalte Tage</t>
  </si>
  <si>
    <t xml:space="preserve">Auslegungsleistung pro Kopf</t>
  </si>
  <si>
    <t xml:space="preserve">kW/Kopf</t>
  </si>
  <si>
    <t xml:space="preserve">nutzbare Endenergie aus Abwärme</t>
  </si>
  <si>
    <t xml:space="preserve">erwartete Verluste bereits abgezogen; Endenergie heißt: Abzug aller Verluste bis zum Verbrauch</t>
  </si>
  <si>
    <t xml:space="preserve">durch Solarthermie zusätzlich zu erzeugende Energie (vor Verlusten direkt am Kollektor)</t>
  </si>
  <si>
    <t xml:space="preserve">Aufschlag für die etwa zu erwartenden Verluste und *1,1 als Sicherheitsfaktor</t>
  </si>
  <si>
    <t xml:space="preserve">Jahreswärmeertrag pro m² direkt am Kollektor, aus vorgegebenem Kollektormix</t>
  </si>
  <si>
    <t xml:space="preserve">gesamte Brutto-Kollektorfläche </t>
  </si>
  <si>
    <t xml:space="preserve">bei optimaler Orientierung: Süd und 32° zur Horizontalen geneigt</t>
  </si>
  <si>
    <t xml:space="preserve">Brutto-Kollektorfläche, d.h. ganze Kollektorfläche, Länge mal Breite</t>
  </si>
  <si>
    <t xml:space="preserve">externe Brutto-Kollektorfläche (nur Kollektorfläche ohne Aufstellungsumgebung)</t>
  </si>
  <si>
    <t xml:space="preserve">daraus:    Kollektorfeldfläche (alle externen Anlagen mit Aufstellungsumgebung)</t>
  </si>
  <si>
    <t xml:space="preserve">Seitenlänge für ein angenommen quadratisches Kollektorfeld</t>
  </si>
  <si>
    <t xml:space="preserve">gesamte Brutto-Kollektorfläche pro Kopf</t>
  </si>
  <si>
    <t xml:space="preserve">externe Kollektorfeldfläche pro Kopf</t>
  </si>
  <si>
    <t xml:space="preserve">Stromertrag aus PVT-Kollektoren</t>
  </si>
  <si>
    <t xml:space="preserve">Saisonspeicher</t>
  </si>
  <si>
    <t xml:space="preserve">Speicher Arbeitsspanne</t>
  </si>
  <si>
    <t xml:space="preserve">K</t>
  </si>
  <si>
    <t xml:space="preserve">Speichertemperatur Mittel</t>
  </si>
  <si>
    <t xml:space="preserve">einzuspeichernde Wärme</t>
  </si>
  <si>
    <t xml:space="preserve">zu speichernder Teil des errechneten Bedarfs aus D57 </t>
  </si>
  <si>
    <t xml:space="preserve">mit Aufschlag für die etwa zu erwartenden Verluste und *1,1 als Sicherheitsfaktor</t>
  </si>
  <si>
    <t xml:space="preserve">SpeicherVolumen</t>
  </si>
  <si>
    <t xml:space="preserve">m³</t>
  </si>
  <si>
    <t xml:space="preserve">Tiefe und Durchmesser für minimale Gesamtoberfläche sind gleich:</t>
  </si>
  <si>
    <t xml:space="preserve">Optimum</t>
  </si>
  <si>
    <t xml:space="preserve">Möglichkeit zur Eingabe einer anderen SpeicherTiefe:</t>
  </si>
  <si>
    <t xml:space="preserve">←</t>
  </si>
  <si>
    <t xml:space="preserve">dieses Optimum hier einsetzen (oder in begründeten Fällen andere Tiefe)</t>
  </si>
  <si>
    <t xml:space="preserve">als SpeicherDurchmesser ergibt sich damit:</t>
  </si>
  <si>
    <t xml:space="preserve">SpeicherDeckfläche</t>
  </si>
  <si>
    <t xml:space="preserve">maximal nötige vertikale Sickergeschwindigkeit beim Speicher-Laden</t>
  </si>
  <si>
    <t xml:space="preserve">m/s</t>
  </si>
  <si>
    <t xml:space="preserve">wenigstens nötige Sickergeschwindigkeit auf horizontalem Querschnitt, Laden bei Maximalstrahlung</t>
  </si>
  <si>
    <t xml:space="preserve">gleichmäßige Verteilung im Querschnitt vorausgesetzt</t>
  </si>
  <si>
    <t xml:space="preserve">maximal nötige vertikale Sickergeschwindigkeit beim Speicher-Entladen</t>
  </si>
  <si>
    <t xml:space="preserve">wenigstens nötige Sickergeschwindigkeit auf horizontalem Querschnitt, Entladen bei Auslegungsleistung</t>
  </si>
  <si>
    <t xml:space="preserve">gleichmäßige Verteilung im Querschnitt vorausgesetzt, März bei 10 K Arbeitsspanne</t>
  </si>
  <si>
    <t xml:space="preserve">Anzahl der kalten peripheren Bohrungen bis zum Speicherboden</t>
  </si>
  <si>
    <t xml:space="preserve">Stück</t>
  </si>
  <si>
    <t xml:space="preserve">volle Speichertiefe, in einen guten Grundwasserleiter hinein</t>
  </si>
  <si>
    <t xml:space="preserve">Annahmen:Auslegungsleistung,mittlere Speichertemperatur,33 °C Rücklauftemperatur</t>
  </si>
  <si>
    <t xml:space="preserve">Anzahl der heißen zentralen Bohrungen, unter Grundwasserspiegel</t>
  </si>
  <si>
    <t xml:space="preserve">30m tief in einen guten Grundwasserleiter hinein</t>
  </si>
  <si>
    <t xml:space="preserve">Länge aller Bohrungen</t>
  </si>
  <si>
    <t xml:space="preserve">benötigte Leistung der Wärmetauscher am Saisonspeicher</t>
  </si>
  <si>
    <t xml:space="preserve">SpeicherVerlust</t>
  </si>
  <si>
    <t xml:space="preserve">Verlust nach oben</t>
  </si>
  <si>
    <t xml:space="preserve">Verlust ins umgebende Erdreich</t>
  </si>
  <si>
    <t xml:space="preserve">ca. 20m dringt die Wärme nach 3 Jahren in die Umgebung, hier als dämmende Umgebung gewertet</t>
  </si>
  <si>
    <r>
      <rPr>
        <sz val="9"/>
        <rFont val="Liberation Sans Narrow"/>
        <family val="2"/>
      </rPr>
      <t xml:space="preserve">vgl.: </t>
    </r>
    <r>
      <rPr>
        <sz val="9"/>
        <color rgb="FF0000FF"/>
        <rFont val="Liberation Sans Narrow"/>
        <family val="2"/>
      </rPr>
      <t xml:space="preserve">https://heliogaia.de/t/zylindermodell007.ods</t>
    </r>
  </si>
  <si>
    <t xml:space="preserve">Gesamtverlust Saisonspeicher</t>
  </si>
  <si>
    <t xml:space="preserve">↑</t>
  </si>
  <si>
    <t xml:space="preserve">Gesamtverlust Saisonspeicher, relativ zur gespeicherten Wärme</t>
  </si>
  <si>
    <r>
      <rPr>
        <sz val="9"/>
        <rFont val="Liberation Sans Narrow"/>
        <family val="2"/>
      </rPr>
      <t xml:space="preserve">nochmals verifiziert in: </t>
    </r>
    <r>
      <rPr>
        <sz val="9"/>
        <color rgb="FF0000FF"/>
        <rFont val="Liberation Sans Narrow"/>
        <family val="2"/>
      </rPr>
      <t xml:space="preserve">https://heliogaia.de/t/zylindermodell007.ods</t>
    </r>
  </si>
  <si>
    <t xml:space="preserve">vgl. D15</t>
  </si>
  <si>
    <t xml:space="preserve">Anschließerdichte, systembezogene Besiedlungsdichte</t>
  </si>
  <si>
    <t xml:space="preserve">pro km²</t>
  </si>
  <si>
    <r>
      <rPr>
        <sz val="10"/>
        <rFont val="Liberation Sans Narrow"/>
        <family val="2"/>
      </rPr>
      <t xml:space="preserve">Netzlänge pro Kopf:</t>
    </r>
    <r>
      <rPr>
        <sz val="7"/>
        <rFont val="Liberation Sans Narrow"/>
        <family val="2"/>
      </rPr>
      <t xml:space="preserve"> falls bekannt, hier eingeben, ansonsten Pauschalwert belassen</t>
    </r>
  </si>
  <si>
    <t xml:space="preserve">m/Kopf</t>
  </si>
  <si>
    <r>
      <rPr>
        <sz val="9"/>
        <color rgb="FF0000FF"/>
        <rFont val="Liberation Sans Narrow"/>
        <family val="2"/>
      </rPr>
      <t xml:space="preserve">https://heliogaia.de/t/trassenlaenge_4.pdf</t>
    </r>
    <r>
      <rPr>
        <sz val="9"/>
        <rFont val="Liberation Sans Narrow"/>
        <family val="2"/>
      </rPr>
      <t xml:space="preserve"> und </t>
    </r>
    <r>
      <rPr>
        <sz val="9"/>
        <color rgb="FF0000FF"/>
        <rFont val="Liberation Sans Narrow"/>
        <family val="2"/>
      </rPr>
      <t xml:space="preserve">https://heliogaia.de/t/trassenlaenge_max_4.ods</t>
    </r>
  </si>
  <si>
    <r>
      <rPr>
        <sz val="9"/>
        <rFont val="Liberation Sans Narrow"/>
        <family val="2"/>
      </rPr>
      <t xml:space="preserve">auch: </t>
    </r>
    <r>
      <rPr>
        <sz val="9"/>
        <color rgb="FF0000FF"/>
        <rFont val="Liberation Sans Narrow"/>
        <family val="2"/>
      </rPr>
      <t xml:space="preserve">https://heliogaia.de/t/trassenlaenge_4.ods</t>
    </r>
  </si>
  <si>
    <t xml:space="preserve">gesamte Netzlänge</t>
  </si>
  <si>
    <t xml:space="preserve">Faktor 1,1: Aufschlag von 10% zur Sicherheit der Abschätzung</t>
  </si>
  <si>
    <r>
      <rPr>
        <sz val="10"/>
        <rFont val="Liberation Sans Narrow"/>
        <family val="2"/>
      </rPr>
      <t xml:space="preserve">davon Netzlänge der Hauptverteilung: </t>
    </r>
    <r>
      <rPr>
        <sz val="7"/>
        <rFont val="Liberation Sans Narrow"/>
        <family val="2"/>
      </rPr>
      <t xml:space="preserve">falls bekannt, hier eingeben, ansonsten Pauschalwert belassen</t>
    </r>
  </si>
  <si>
    <t xml:space="preserve">Kosten</t>
  </si>
  <si>
    <t xml:space="preserve">Investition</t>
  </si>
  <si>
    <t xml:space="preserve">Kosten pro Jahr zur Bestimmung der mittleren Abschreibungszeit</t>
  </si>
  <si>
    <t xml:space="preserve">werden berechnet</t>
  </si>
  <si>
    <t xml:space="preserve">Installation der Kollektoren</t>
  </si>
  <si>
    <t xml:space="preserve">Bodenpreis für Kollektorfeld</t>
  </si>
  <si>
    <t xml:space="preserve">Bodenpreis gewöhnlich nur einmal, hier auf 100 Jahre verteilt gerechnet</t>
  </si>
  <si>
    <t xml:space="preserve">Kollektoren, gesamt</t>
  </si>
  <si>
    <t xml:space="preserve">Bodenpreis für Speicher</t>
  </si>
  <si>
    <t xml:space="preserve">Speicher, Abdeckung</t>
  </si>
  <si>
    <t xml:space="preserve">2m trockener Dämm-Füllboden, 1m bewitterter Boden</t>
  </si>
  <si>
    <t xml:space="preserve">Speicher, Schlitzwand</t>
  </si>
  <si>
    <t xml:space="preserve">Speicher, Bohrungen</t>
  </si>
  <si>
    <t xml:space="preserve">Wärmetauscher</t>
  </si>
  <si>
    <t xml:space="preserve">Technikgebäude</t>
  </si>
  <si>
    <t xml:space="preserve">Speicher, gesamt</t>
  </si>
  <si>
    <t xml:space="preserve">Investition Hauptverteilung</t>
  </si>
  <si>
    <t xml:space="preserve">Investition Unterverteilung</t>
  </si>
  <si>
    <t xml:space="preserve">Hausanschlüsse</t>
  </si>
  <si>
    <t xml:space="preserve">Verteilung, gesamt</t>
  </si>
  <si>
    <t xml:space="preserve">Summe</t>
  </si>
  <si>
    <t xml:space="preserve">Investition für die gesamte Anlage mit Nebenkostenaufschlag:</t>
  </si>
  <si>
    <t xml:space="preserve">laufende Kosten</t>
  </si>
  <si>
    <t xml:space="preserve">E-Antrieb der Umwälzpumpen, Stromkosten</t>
  </si>
  <si>
    <t xml:space="preserve">€/a</t>
  </si>
  <si>
    <r>
      <rPr>
        <sz val="9"/>
        <color rgb="FF0000FF"/>
        <rFont val="Liberation Sans Narrow"/>
        <family val="2"/>
      </rPr>
      <t xml:space="preserve">https://www.stadtwerke.it/de/fernwaerme/fernwaerme/waermeverteilung/pumpstation.html</t>
    </r>
    <r>
      <rPr>
        <sz val="9"/>
        <rFont val="Liberation Sans Narrow"/>
        <family val="2"/>
      </rPr>
      <t xml:space="preserve"> </t>
    </r>
  </si>
  <si>
    <t xml:space="preserve">gesetzt: 2% der Heizleistung; abgeschätzt nach Quelle bei 30K Spreizung: 1,4%   </t>
  </si>
  <si>
    <t xml:space="preserve">PVT-Kollektoren, Gewinn durch Stromertrag</t>
  </si>
  <si>
    <t xml:space="preserve">Kosten für den Kauf der Abwärme</t>
  </si>
  <si>
    <t xml:space="preserve">Betrieb, Wartung</t>
  </si>
  <si>
    <t xml:space="preserve">laufende Kosten:</t>
  </si>
  <si>
    <t xml:space="preserve">Kosten / Jahr / Kopf</t>
  </si>
  <si>
    <t xml:space="preserve">Investitionskosten relativ</t>
  </si>
  <si>
    <t xml:space="preserve">Gesamtkosten relativ</t>
  </si>
  <si>
    <t xml:space="preserve">Verteilung</t>
  </si>
  <si>
    <t xml:space="preserve">Endergebnisse</t>
  </si>
  <si>
    <t xml:space="preserve">Gesamtkosten für alle Gebäude, jährlich</t>
  </si>
  <si>
    <t xml:space="preserve">Gesamtkosten für alle Gebäude, monatlich</t>
  </si>
  <si>
    <t xml:space="preserve">€/Mo/Kopf</t>
  </si>
  <si>
    <t xml:space="preserve">Gesamtkosten für Wohngebäude, jährlich</t>
  </si>
  <si>
    <t xml:space="preserve">Gesamtkosten für Wohngebäude, monatlich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</si>
</sst>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.00\ [$€-407];[RED]\-#,##0.00\ [$€-407]"/>
    <numFmt numFmtId="166" formatCode="#,##0"/>
    <numFmt numFmtId="167" formatCode="#,##0.0"/>
    <numFmt numFmtId="168" formatCode="@"/>
    <numFmt numFmtId="169" formatCode="0"/>
    <numFmt numFmtId="170" formatCode="0.00"/>
    <numFmt numFmtId="171" formatCode="0.000"/>
    <numFmt numFmtId="172" formatCode="General"/>
    <numFmt numFmtId="173" formatCode="#,##0.000000"/>
    <numFmt numFmtId="174" formatCode="0.000000"/>
    <numFmt numFmtId="175" formatCode="0.0"/>
    <numFmt numFmtId="176" formatCode="0%"/>
  </numFmts>
  <fonts count="2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FreeSans"/>
      <family val="2"/>
    </font>
    <font>
      <sz val="10"/>
      <name val="FreeSans"/>
      <family val="2"/>
    </font>
    <font>
      <b val="true"/>
      <sz val="10"/>
      <name val="Liberation Sans Narrow"/>
      <family val="2"/>
    </font>
    <font>
      <sz val="10"/>
      <name val="Liberation Sans Narrow"/>
      <family val="2"/>
    </font>
    <font>
      <b val="true"/>
      <sz val="7"/>
      <name val="Liberation Sans Narrow"/>
      <family val="2"/>
    </font>
    <font>
      <b val="true"/>
      <sz val="9"/>
      <name val="Liberation Sans Narrow"/>
      <family val="2"/>
    </font>
    <font>
      <sz val="9"/>
      <name val="Liberation Sans Narrow"/>
      <family val="2"/>
    </font>
    <font>
      <sz val="9"/>
      <color rgb="FF0000FF"/>
      <name val="Liberation Sans Narrow"/>
      <family val="2"/>
    </font>
    <font>
      <sz val="8"/>
      <name val="Liberation Sans Narrow"/>
      <family val="2"/>
    </font>
    <font>
      <sz val="8"/>
      <color rgb="FF0000FF"/>
      <name val="Liberation Sans Narrow"/>
      <family val="2"/>
    </font>
    <font>
      <b val="true"/>
      <sz val="8"/>
      <name val="Liberation Sans Narrow"/>
      <family val="2"/>
    </font>
    <font>
      <sz val="6"/>
      <color rgb="FF0000FF"/>
      <name val="Liberation Sans Narrow"/>
      <family val="2"/>
    </font>
    <font>
      <sz val="14"/>
      <name val="Liberation Sans Narrow"/>
      <family val="0"/>
    </font>
    <font>
      <b val="true"/>
      <sz val="12"/>
      <name val="Liberation Sans Narrow"/>
      <family val="2"/>
    </font>
    <font>
      <sz val="7"/>
      <color rgb="FF0000FF"/>
      <name val="Liberation Sans Narrow"/>
      <family val="2"/>
    </font>
    <font>
      <sz val="14"/>
      <name val="Liberation Sans Narrow"/>
      <family val="2"/>
    </font>
    <font>
      <sz val="7"/>
      <name val="Liberation Sans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3333"/>
        <bgColor rgb="FFFF6600"/>
      </patternFill>
    </fill>
    <fill>
      <patternFill patternType="solid">
        <fgColor rgb="FF00FF00"/>
        <bgColor rgb="FF7CFC00"/>
      </patternFill>
    </fill>
    <fill>
      <patternFill patternType="solid">
        <fgColor rgb="FFDCDCDC"/>
        <bgColor rgb="FFFFE4E1"/>
      </patternFill>
    </fill>
    <fill>
      <patternFill patternType="solid">
        <fgColor rgb="FF87CEFA"/>
        <bgColor rgb="FF66CCFF"/>
      </patternFill>
    </fill>
    <fill>
      <patternFill patternType="solid">
        <fgColor rgb="FF00FFFF"/>
        <bgColor rgb="FF00FFFF"/>
      </patternFill>
    </fill>
    <fill>
      <patternFill patternType="solid">
        <fgColor rgb="FFF5F5F5"/>
        <bgColor rgb="FFF8F8FF"/>
      </patternFill>
    </fill>
    <fill>
      <patternFill patternType="solid">
        <fgColor rgb="FFFFFF00"/>
        <bgColor rgb="FFFFCC00"/>
      </patternFill>
    </fill>
    <fill>
      <patternFill patternType="solid">
        <fgColor rgb="FF7FFF00"/>
        <bgColor rgb="FF7CFC00"/>
      </patternFill>
    </fill>
    <fill>
      <patternFill patternType="solid">
        <fgColor rgb="FFFFB6C1"/>
        <bgColor rgb="FFFF99CC"/>
      </patternFill>
    </fill>
    <fill>
      <patternFill patternType="solid">
        <fgColor rgb="FFF8F8FF"/>
        <bgColor rgb="FFF5F5F5"/>
      </patternFill>
    </fill>
    <fill>
      <patternFill patternType="solid">
        <fgColor rgb="FFFF69B4"/>
        <bgColor rgb="FFFF99CC"/>
      </patternFill>
    </fill>
    <fill>
      <patternFill patternType="solid">
        <fgColor rgb="FF66CCFF"/>
        <bgColor rgb="FF87CEFA"/>
      </patternFill>
    </fill>
    <fill>
      <patternFill patternType="solid">
        <fgColor rgb="FFFFE4E1"/>
        <bgColor rgb="FFF5F5F5"/>
      </patternFill>
    </fill>
    <fill>
      <patternFill patternType="solid">
        <fgColor rgb="FFADFF2F"/>
        <bgColor rgb="FF7FFF00"/>
      </patternFill>
    </fill>
    <fill>
      <patternFill patternType="solid">
        <fgColor rgb="FF00BFFF"/>
        <bgColor rgb="FF00FFFF"/>
      </patternFill>
    </fill>
    <fill>
      <patternFill patternType="solid">
        <fgColor rgb="FF7CFC00"/>
        <bgColor rgb="FF7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hair"/>
      <right style="hair"/>
      <top style="hair"/>
      <bottom style="double"/>
      <diagonal/>
    </border>
    <border diagonalUp="false" diagonalDown="false">
      <left/>
      <right style="hair"/>
      <top style="hair"/>
      <bottom style="double"/>
      <diagonal/>
    </border>
    <border diagonalUp="false" diagonalDown="false">
      <left style="thin">
        <color rgb="FF314004"/>
      </left>
      <right/>
      <top style="thin">
        <color rgb="FF314004"/>
      </top>
      <bottom/>
      <diagonal/>
    </border>
    <border diagonalUp="false" diagonalDown="false">
      <left/>
      <right style="thin">
        <color rgb="FF314004"/>
      </right>
      <top style="thin">
        <color rgb="FF314004"/>
      </top>
      <bottom/>
      <diagonal/>
    </border>
    <border diagonalUp="false" diagonalDown="false">
      <left style="thin">
        <color rgb="FF314004"/>
      </left>
      <right/>
      <top/>
      <bottom/>
      <diagonal/>
    </border>
    <border diagonalUp="false" diagonalDown="false">
      <left/>
      <right style="thin">
        <color rgb="FF314004"/>
      </right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>
        <color rgb="FF314004"/>
      </left>
      <right/>
      <top/>
      <bottom style="thin">
        <color rgb="FF314004"/>
      </bottom>
      <diagonal/>
    </border>
    <border diagonalUp="false" diagonalDown="false">
      <left/>
      <right style="thin">
        <color rgb="FF314004"/>
      </right>
      <top/>
      <bottom style="thin">
        <color rgb="FF314004"/>
      </bottom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2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2" borderId="0" applyFont="true" applyBorder="false" applyAlignment="false" applyProtection="false"/>
  </cellStyleXfs>
  <cellXfs count="1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6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7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5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6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7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5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9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9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1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1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1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11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9" fontId="9" fillId="1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11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6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12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7" fillId="12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11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6" borderId="2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1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7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7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1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14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7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7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1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72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1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1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1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1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1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14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8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6" fillId="1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1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1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1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6" fontId="10" fillId="1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6" fontId="10" fillId="1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6" fillId="1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9" fillId="1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6" fontId="9" fillId="17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6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1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1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6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1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1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" xfId="20"/>
    <cellStyle name="Ergebnis 2" xfId="21"/>
    <cellStyle name="Überschrift" xfId="22"/>
    <cellStyle name="Überschrift 1" xfId="23"/>
    <cellStyle name="Unbenannt1" xfId="24"/>
    <cellStyle name="Unbenannt2" xfId="25"/>
    <cellStyle name="Unbenannt3" xfId="26"/>
  </cellStyles>
  <colors>
    <indexedColors>
      <rgbColor rgb="FF000000"/>
      <rgbColor rgb="FFF8F8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69B4"/>
      <rgbColor rgb="FF0066CC"/>
      <rgbColor rgb="FFDCDCDC"/>
      <rgbColor rgb="FF000080"/>
      <rgbColor rgb="FFFF00FF"/>
      <rgbColor rgb="FFADFF2F"/>
      <rgbColor rgb="FF00FFFF"/>
      <rgbColor rgb="FF800080"/>
      <rgbColor rgb="FF800000"/>
      <rgbColor rgb="FF008080"/>
      <rgbColor rgb="FF0000FF"/>
      <rgbColor rgb="FF00BFFF"/>
      <rgbColor rgb="FFCCFFFF"/>
      <rgbColor rgb="FF7FFF00"/>
      <rgbColor rgb="FFFFE4E1"/>
      <rgbColor rgb="FF87CEFA"/>
      <rgbColor rgb="FFFF99CC"/>
      <rgbColor rgb="FFCC99FF"/>
      <rgbColor rgb="FFFFB6C1"/>
      <rgbColor rgb="FF3366FF"/>
      <rgbColor rgb="FF66CCFF"/>
      <rgbColor rgb="FF7CF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1400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e.wikipedia.org/wiki/Cottbus" TargetMode="External"/><Relationship Id="rId2" Type="http://schemas.openxmlformats.org/officeDocument/2006/relationships/hyperlink" Target="https://www.geoportal.de/map.html" TargetMode="External"/><Relationship Id="rId3" Type="http://schemas.openxmlformats.org/officeDocument/2006/relationships/hyperlink" Target="https://heliogaia.de/t/quellen.html" TargetMode="External"/><Relationship Id="rId4" Type="http://schemas.openxmlformats.org/officeDocument/2006/relationships/hyperlink" Target="https://www.dena.de/infocenter/dena-gebaeudereport-2024/" TargetMode="External"/><Relationship Id="rId5" Type="http://schemas.openxmlformats.org/officeDocument/2006/relationships/hyperlink" Target="https://www.heizspiegel.de/fileadmin/hs/heizspiegel-2023/heizspiegel-2023-flyer.pdf" TargetMode="External"/><Relationship Id="rId6" Type="http://schemas.openxmlformats.org/officeDocument/2006/relationships/hyperlink" Target="https://www.dena.de/fileadmin/dena/Dokumente/Pdf/9254_Gebaeudereport_dena_kompakt_2018.pdf" TargetMode="External"/><Relationship Id="rId7" Type="http://schemas.openxmlformats.org/officeDocument/2006/relationships/hyperlink" Target="https://dme-consult.de/images/energiewende/forschungentwicklung/WEB-240301_LoCarDi_Grosswaermepumpen_in_der_Fernwaermeversorgung.pdf" TargetMode="External"/><Relationship Id="rId8" Type="http://schemas.openxmlformats.org/officeDocument/2006/relationships/hyperlink" Target="https://heliogaia.de/t/zylindermodell007.ods" TargetMode="External"/><Relationship Id="rId9" Type="http://schemas.openxmlformats.org/officeDocument/2006/relationships/hyperlink" Target="https://www.dwd.de/DE/leistungen/solarenergie/strahlungskarten_mvs.html?nn=16102" TargetMode="External"/><Relationship Id="rId10" Type="http://schemas.openxmlformats.org/officeDocument/2006/relationships/hyperlink" Target="https://www.dwd.de/DE/leistungen/solarenergie/strahlungskarten_mvs.html?nn=16102" TargetMode="External"/><Relationship Id="rId11" Type="http://schemas.openxmlformats.org/officeDocument/2006/relationships/hyperlink" Target="https://www.dwd.de/DE/leistungen/solarenergie/strahlungskarten_sum.html?nn=16102" TargetMode="External"/><Relationship Id="rId12" Type="http://schemas.openxmlformats.org/officeDocument/2006/relationships/hyperlink" Target="https://solarkeymark.eu/database/" TargetMode="External"/><Relationship Id="rId13" Type="http://schemas.openxmlformats.org/officeDocument/2006/relationships/hyperlink" Target="https://solarkeymark.eu/database/" TargetMode="External"/><Relationship Id="rId14" Type="http://schemas.openxmlformats.org/officeDocument/2006/relationships/hyperlink" Target="https://heliogaia.de/k/CPC_XL1921.jpg" TargetMode="External"/><Relationship Id="rId15" Type="http://schemas.openxmlformats.org/officeDocument/2006/relationships/hyperlink" Target="https://heliogaia.de/k/kollektorvergleich.pdf" TargetMode="External"/><Relationship Id="rId16" Type="http://schemas.openxmlformats.org/officeDocument/2006/relationships/hyperlink" Target="https://heliogaia.de/k/Solimpeks_ALS_251.jpg" TargetMode="External"/><Relationship Id="rId17" Type="http://schemas.openxmlformats.org/officeDocument/2006/relationships/hyperlink" Target="https://heliogaia.de/k/kollektorvergleich.pdf" TargetMode="External"/><Relationship Id="rId18" Type="http://schemas.openxmlformats.org/officeDocument/2006/relationships/hyperlink" Target="https://www.solaranlagen-portal.de/solarenergie-komponenten/hybridkollektor-pvt-kollektor" TargetMode="External"/><Relationship Id="rId19" Type="http://schemas.openxmlformats.org/officeDocument/2006/relationships/hyperlink" Target="https://www.solaranlage-ratgeber.de/solarthermie/solarthermie-wartung/lebensdauer-einer-solarthermieanlage" TargetMode="External"/><Relationship Id="rId20" Type="http://schemas.openxmlformats.org/officeDocument/2006/relationships/hyperlink" Target="https://heliogaia.de/t/optimierung_kollektorertrag_2.ods" TargetMode="External"/><Relationship Id="rId21" Type="http://schemas.openxmlformats.org/officeDocument/2006/relationships/hyperlink" Target="https://www.solaranlagen-portal.de/thermische-solaranlage/solarkollektor-preis.html" TargetMode="External"/><Relationship Id="rId22" Type="http://schemas.openxmlformats.org/officeDocument/2006/relationships/hyperlink" Target="https://www.bodenrichtwerte-boris.de/boris-d/?lang=de" TargetMode="External"/><Relationship Id="rId23" Type="http://schemas.openxmlformats.org/officeDocument/2006/relationships/hyperlink" Target="https://www.lgb-rlp.de/fileadmin/service/lgb_downloads/boden/boden_themenheft_vorsorgender/tvb6_2024.pdf" TargetMode="External"/><Relationship Id="rId24" Type="http://schemas.openxmlformats.org/officeDocument/2006/relationships/hyperlink" Target="https://www.schweizer-fn.de/stoff/wleit_isolierung/wleit_isolierung.php" TargetMode="External"/><Relationship Id="rId25" Type="http://schemas.openxmlformats.org/officeDocument/2006/relationships/hyperlink" Target="https://www.schweizer-fn.de/stoff/wleit_isolierung/wleit_isolierung.php" TargetMode="External"/><Relationship Id="rId26" Type="http://schemas.openxmlformats.org/officeDocument/2006/relationships/hyperlink" Target="https://www.dwd.de/DE/leistungen/klimadatendeutschland/vielj_mittelwerte.html" TargetMode="External"/><Relationship Id="rId27" Type="http://schemas.openxmlformats.org/officeDocument/2006/relationships/hyperlink" Target="https://www.straelen.de/rathaus-politik/dienstleistungen/wasserversorgung/wasserversorgung/" TargetMode="External"/><Relationship Id="rId28" Type="http://schemas.openxmlformats.org/officeDocument/2006/relationships/hyperlink" Target="https://www.kesselheld.de/tiefenbohrung/" TargetMode="External"/><Relationship Id="rId29" Type="http://schemas.openxmlformats.org/officeDocument/2006/relationships/hyperlink" Target="https://www.rheinwerke.de/files/FW-Schiene-Rheinland.pdf" TargetMode="External"/><Relationship Id="rId30" Type="http://schemas.openxmlformats.org/officeDocument/2006/relationships/hyperlink" Target="https://www.borderstep.de/wp-content/uploads/2014/07/Clausen-Kosten_-laendliche_-Waermenetze-2012.pdf" TargetMode="External"/><Relationship Id="rId31" Type="http://schemas.openxmlformats.org/officeDocument/2006/relationships/hyperlink" Target="https://www.borderstep.de/wp-content/uploads/2014/07/Clausen-Kosten_-laendliche_-Waermenetze-2012.pdf" TargetMode="External"/><Relationship Id="rId32" Type="http://schemas.openxmlformats.org/officeDocument/2006/relationships/hyperlink" Target="https://nordictec-shop.eu/de/221-plattenwaermetauscher-waermeuebertragungsflaeche?resultsPerPage=99999" TargetMode="External"/><Relationship Id="rId33" Type="http://schemas.openxmlformats.org/officeDocument/2006/relationships/hyperlink" Target="https://www.heizspiegel.de/heizkosten-senken/heizungswartung/" TargetMode="External"/><Relationship Id="rId34" Type="http://schemas.openxmlformats.org/officeDocument/2006/relationships/hyperlink" Target="https://heliogaia.de/t/zylindermodell007.ods" TargetMode="External"/><Relationship Id="rId35" Type="http://schemas.openxmlformats.org/officeDocument/2006/relationships/hyperlink" Target="https://heliogaia.de/t/zylindermodell007.ods" TargetMode="External"/><Relationship Id="rId36" Type="http://schemas.openxmlformats.org/officeDocument/2006/relationships/hyperlink" Target="https://heliogaia.de/t/trassenlaenge_4.ods" TargetMode="External"/><Relationship Id="rId37" Type="http://schemas.openxmlformats.org/officeDocument/2006/relationships/hyperlink" Target="https://www.stadtwerke.it/de/fernwaerme/fernwaerme/waermeverteilung/pumpstation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200" zoomScaleNormal="200" zoomScalePageLayoutView="100" workbookViewId="0">
      <selection pane="topLeft" activeCell="G6" activeCellId="0" sqref="G6"/>
    </sheetView>
  </sheetViews>
  <sheetFormatPr defaultColWidth="11.53515625" defaultRowHeight="11.6" zeroHeight="false" outlineLevelRow="0" outlineLevelCol="0"/>
  <cols>
    <col collapsed="false" customWidth="true" hidden="false" outlineLevel="0" max="1" min="1" style="1" width="15.38"/>
    <col collapsed="false" customWidth="true" hidden="false" outlineLevel="0" max="2" min="2" style="2" width="11.3"/>
    <col collapsed="false" customWidth="true" hidden="false" outlineLevel="0" max="3" min="3" style="3" width="59.74"/>
    <col collapsed="false" customWidth="true" hidden="false" outlineLevel="0" max="4" min="4" style="4" width="12.99"/>
    <col collapsed="false" customWidth="true" hidden="false" outlineLevel="0" max="5" min="5" style="3" width="8.61"/>
    <col collapsed="false" customWidth="true" hidden="false" outlineLevel="0" max="6" min="6" style="2" width="6.24"/>
    <col collapsed="false" customWidth="true" hidden="false" outlineLevel="0" max="7" min="7" style="3" width="62.15"/>
    <col collapsed="false" customWidth="true" hidden="false" outlineLevel="0" max="8" min="8" style="3" width="54.58"/>
    <col collapsed="false" customWidth="false" hidden="false" outlineLevel="0" max="950" min="9" style="5" width="11.52"/>
    <col collapsed="false" customWidth="false" hidden="false" outlineLevel="0" max="957" min="951" style="6" width="11.52"/>
    <col collapsed="false" customWidth="false" hidden="false" outlineLevel="0" max="966" min="958" style="7" width="11.52"/>
  </cols>
  <sheetData>
    <row r="1" s="9" customFormat="true" ht="13.9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6"/>
      <c r="AJP1" s="6"/>
      <c r="AJQ1" s="6"/>
      <c r="AJR1" s="6"/>
      <c r="AJS1" s="6"/>
      <c r="AJT1" s="6"/>
      <c r="AJU1" s="6"/>
      <c r="AJV1" s="7"/>
      <c r="AJW1" s="7"/>
      <c r="AJX1" s="7"/>
      <c r="AJY1" s="7"/>
      <c r="AJZ1" s="7"/>
      <c r="AKA1" s="7"/>
      <c r="AKB1" s="7"/>
      <c r="AKC1" s="7"/>
      <c r="AKD1" s="7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15" customFormat="true" ht="18.9" hidden="false" customHeight="true" outlineLevel="0" collapsed="false">
      <c r="A2" s="10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1" t="s">
        <v>7</v>
      </c>
      <c r="H2" s="14" t="s">
        <v>7</v>
      </c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7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24" customFormat="true" ht="11.6" hidden="false" customHeight="true" outlineLevel="0" collapsed="false">
      <c r="A3" s="18" t="s">
        <v>8</v>
      </c>
      <c r="B3" s="19" t="s">
        <v>9</v>
      </c>
      <c r="C3" s="20" t="s">
        <v>10</v>
      </c>
      <c r="D3" s="21" t="n">
        <v>80008</v>
      </c>
      <c r="E3" s="3" t="s">
        <v>11</v>
      </c>
      <c r="F3" s="2"/>
      <c r="G3" s="22" t="s">
        <v>12</v>
      </c>
      <c r="H3" s="23" t="s">
        <v>13</v>
      </c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6"/>
      <c r="AJP3" s="6"/>
      <c r="AJQ3" s="6"/>
      <c r="AJR3" s="6"/>
      <c r="AJS3" s="6"/>
      <c r="AJT3" s="6"/>
      <c r="AJU3" s="6"/>
      <c r="AJV3" s="7"/>
      <c r="AJW3" s="7"/>
      <c r="AJX3" s="7"/>
      <c r="AJY3" s="7"/>
      <c r="AJZ3" s="7"/>
      <c r="AKA3" s="7"/>
      <c r="AKB3" s="7"/>
      <c r="AKC3" s="7"/>
      <c r="AKD3" s="7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1.6" hidden="false" customHeight="true" outlineLevel="0" collapsed="false">
      <c r="A4" s="25" t="s">
        <v>14</v>
      </c>
      <c r="B4" s="19"/>
      <c r="C4" s="20" t="s">
        <v>15</v>
      </c>
      <c r="D4" s="21" t="n">
        <v>56</v>
      </c>
      <c r="E4" s="3" t="s">
        <v>16</v>
      </c>
      <c r="G4" s="22" t="s">
        <v>17</v>
      </c>
      <c r="H4" s="23" t="s">
        <v>18</v>
      </c>
      <c r="AJV4" s="6"/>
      <c r="AJW4" s="6"/>
      <c r="AJX4" s="6"/>
      <c r="AJY4" s="6"/>
      <c r="AJZ4" s="6"/>
      <c r="AKA4" s="6"/>
      <c r="AKB4" s="6"/>
      <c r="AKC4" s="6"/>
    </row>
    <row r="5" customFormat="false" ht="11.6" hidden="false" customHeight="true" outlineLevel="0" collapsed="false">
      <c r="A5" s="26" t="s">
        <v>19</v>
      </c>
      <c r="B5" s="19"/>
      <c r="C5" s="27" t="s">
        <v>20</v>
      </c>
      <c r="D5" s="28" t="n">
        <v>41.9</v>
      </c>
      <c r="E5" s="27" t="s">
        <v>21</v>
      </c>
      <c r="G5" s="29" t="s">
        <v>22</v>
      </c>
      <c r="H5" s="23"/>
    </row>
    <row r="6" customFormat="false" ht="11.6" hidden="false" customHeight="true" outlineLevel="0" collapsed="false">
      <c r="A6" s="30"/>
      <c r="B6" s="31"/>
      <c r="C6" s="32" t="s">
        <v>23</v>
      </c>
      <c r="D6" s="33" t="n">
        <v>32</v>
      </c>
      <c r="E6" s="32" t="s">
        <v>24</v>
      </c>
      <c r="F6" s="34"/>
      <c r="G6" s="35" t="s">
        <v>25</v>
      </c>
      <c r="H6" s="36" t="s">
        <v>26</v>
      </c>
    </row>
    <row r="7" customFormat="false" ht="11.6" hidden="false" customHeight="true" outlineLevel="0" collapsed="false">
      <c r="A7" s="37"/>
      <c r="B7" s="19" t="s">
        <v>27</v>
      </c>
      <c r="C7" s="20" t="s">
        <v>28</v>
      </c>
      <c r="D7" s="38" t="n">
        <v>80</v>
      </c>
      <c r="E7" s="39" t="s">
        <v>29</v>
      </c>
      <c r="G7" s="22" t="s">
        <v>30</v>
      </c>
      <c r="H7" s="23" t="s">
        <v>31</v>
      </c>
    </row>
    <row r="8" customFormat="false" ht="11.6" hidden="false" customHeight="true" outlineLevel="0" collapsed="false">
      <c r="A8" s="40"/>
      <c r="B8" s="19"/>
      <c r="C8" s="39" t="s">
        <v>32</v>
      </c>
      <c r="D8" s="21" t="n">
        <v>1437</v>
      </c>
      <c r="E8" s="39" t="s">
        <v>33</v>
      </c>
      <c r="G8" s="22" t="s">
        <v>34</v>
      </c>
      <c r="H8" s="23" t="s">
        <v>35</v>
      </c>
    </row>
    <row r="9" customFormat="false" ht="11.6" hidden="false" customHeight="true" outlineLevel="0" collapsed="false">
      <c r="A9" s="41"/>
      <c r="B9" s="19" t="s">
        <v>36</v>
      </c>
      <c r="C9" s="42" t="s">
        <v>37</v>
      </c>
      <c r="D9" s="38" t="n">
        <v>60000000</v>
      </c>
      <c r="E9" s="39" t="s">
        <v>38</v>
      </c>
      <c r="G9" s="23" t="s">
        <v>39</v>
      </c>
      <c r="H9" s="23" t="s">
        <v>40</v>
      </c>
    </row>
    <row r="10" customFormat="false" ht="11.6" hidden="false" customHeight="true" outlineLevel="0" collapsed="false">
      <c r="A10" s="41"/>
      <c r="B10" s="19"/>
      <c r="C10" s="39" t="s">
        <v>41</v>
      </c>
      <c r="D10" s="21" t="n">
        <v>1000000</v>
      </c>
      <c r="E10" s="27" t="s">
        <v>42</v>
      </c>
      <c r="G10" s="43" t="s">
        <v>43</v>
      </c>
      <c r="H10" s="23" t="s">
        <v>44</v>
      </c>
    </row>
    <row r="11" s="6" customFormat="true" ht="11.6" hidden="false" customHeight="true" outlineLevel="0" collapsed="false">
      <c r="A11" s="44"/>
      <c r="B11" s="19"/>
      <c r="C11" s="39" t="s">
        <v>45</v>
      </c>
      <c r="D11" s="45" t="n">
        <v>30</v>
      </c>
      <c r="E11" s="39" t="s">
        <v>24</v>
      </c>
      <c r="F11" s="2"/>
      <c r="G11" s="23" t="s">
        <v>46</v>
      </c>
      <c r="H11" s="23" t="s">
        <v>47</v>
      </c>
      <c r="AJV11" s="7"/>
      <c r="AJW11" s="7"/>
      <c r="AJX11" s="7"/>
      <c r="AJY11" s="7"/>
      <c r="AJZ11" s="7"/>
      <c r="AKA11" s="7"/>
      <c r="AKB11" s="7"/>
      <c r="AKC11" s="7"/>
      <c r="AKD11" s="7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1.6" hidden="false" customHeight="true" outlineLevel="0" collapsed="false">
      <c r="A12" s="46"/>
      <c r="B12" s="23" t="s">
        <v>48</v>
      </c>
      <c r="C12" s="47" t="s">
        <v>49</v>
      </c>
      <c r="D12" s="48" t="n">
        <v>20</v>
      </c>
      <c r="E12" s="39" t="s">
        <v>24</v>
      </c>
      <c r="F12" s="49"/>
      <c r="G12" s="50" t="s">
        <v>50</v>
      </c>
      <c r="H12" s="23" t="s">
        <v>51</v>
      </c>
    </row>
    <row r="13" customFormat="false" ht="11.6" hidden="false" customHeight="true" outlineLevel="0" collapsed="false">
      <c r="A13" s="51"/>
      <c r="B13" s="52"/>
      <c r="C13" s="47" t="s">
        <v>52</v>
      </c>
      <c r="D13" s="53" t="n">
        <v>6.7</v>
      </c>
      <c r="E13" s="39" t="s">
        <v>24</v>
      </c>
      <c r="F13" s="49"/>
      <c r="G13" s="23" t="s">
        <v>53</v>
      </c>
      <c r="H13" s="23"/>
    </row>
    <row r="14" customFormat="false" ht="11.6" hidden="false" customHeight="true" outlineLevel="0" collapsed="false">
      <c r="A14" s="51"/>
      <c r="B14" s="52"/>
      <c r="C14" s="47" t="s">
        <v>54</v>
      </c>
      <c r="D14" s="53" t="n">
        <v>15</v>
      </c>
      <c r="E14" s="39" t="s">
        <v>24</v>
      </c>
      <c r="F14" s="49"/>
      <c r="G14" s="23" t="s">
        <v>55</v>
      </c>
      <c r="H14" s="23"/>
    </row>
    <row r="15" customFormat="false" ht="11.6" hidden="false" customHeight="true" outlineLevel="0" collapsed="false">
      <c r="A15" s="51"/>
      <c r="B15" s="54" t="s">
        <v>56</v>
      </c>
      <c r="C15" s="47" t="s">
        <v>57</v>
      </c>
      <c r="D15" s="53" t="n">
        <v>7.2</v>
      </c>
      <c r="E15" s="39" t="s">
        <v>24</v>
      </c>
      <c r="F15" s="54" t="s">
        <v>56</v>
      </c>
      <c r="G15" s="23" t="s">
        <v>58</v>
      </c>
      <c r="H15" s="55" t="s">
        <v>59</v>
      </c>
    </row>
    <row r="16" customFormat="false" ht="11.6" hidden="false" customHeight="true" outlineLevel="0" collapsed="false">
      <c r="A16" s="56"/>
      <c r="B16" s="36"/>
      <c r="C16" s="57" t="s">
        <v>60</v>
      </c>
      <c r="D16" s="58" t="n">
        <v>3</v>
      </c>
      <c r="E16" s="32" t="s">
        <v>24</v>
      </c>
      <c r="F16" s="59"/>
      <c r="G16" s="36" t="s">
        <v>61</v>
      </c>
      <c r="H16" s="36"/>
      <c r="AJV16" s="6"/>
      <c r="AJW16" s="6"/>
      <c r="AJX16" s="6"/>
      <c r="AJY16" s="6"/>
      <c r="AJZ16" s="6"/>
      <c r="AKA16" s="6"/>
      <c r="AKB16" s="6"/>
      <c r="AKC16" s="6"/>
    </row>
    <row r="17" customFormat="false" ht="11.6" hidden="false" customHeight="true" outlineLevel="0" collapsed="false">
      <c r="A17" s="51"/>
      <c r="B17" s="23" t="s">
        <v>62</v>
      </c>
      <c r="C17" s="39" t="s">
        <v>63</v>
      </c>
      <c r="D17" s="60" t="n">
        <v>1141</v>
      </c>
      <c r="E17" s="39" t="s">
        <v>64</v>
      </c>
      <c r="F17" s="49" t="s">
        <v>65</v>
      </c>
      <c r="G17" s="22" t="s">
        <v>66</v>
      </c>
      <c r="H17" s="23"/>
    </row>
    <row r="18" customFormat="false" ht="11.6" hidden="false" customHeight="true" outlineLevel="0" collapsed="false">
      <c r="A18" s="51"/>
      <c r="B18" s="23" t="s">
        <v>65</v>
      </c>
      <c r="C18" s="42" t="s">
        <v>67</v>
      </c>
      <c r="D18" s="53" t="n">
        <v>1111</v>
      </c>
      <c r="E18" s="39" t="s">
        <v>64</v>
      </c>
      <c r="F18" s="49" t="s">
        <v>65</v>
      </c>
      <c r="G18" s="22" t="s">
        <v>66</v>
      </c>
      <c r="H18" s="23" t="s">
        <v>68</v>
      </c>
    </row>
    <row r="19" customFormat="false" ht="10.9" hidden="false" customHeight="true" outlineLevel="0" collapsed="false">
      <c r="A19" s="61" t="s">
        <v>69</v>
      </c>
      <c r="B19" s="62" t="s">
        <v>70</v>
      </c>
      <c r="C19" s="39" t="s">
        <v>71</v>
      </c>
      <c r="D19" s="53" t="n">
        <v>7.5</v>
      </c>
      <c r="E19" s="39" t="s">
        <v>72</v>
      </c>
      <c r="F19" s="49" t="s">
        <v>65</v>
      </c>
      <c r="G19" s="22" t="s">
        <v>73</v>
      </c>
      <c r="H19" s="63" t="s">
        <v>74</v>
      </c>
    </row>
    <row r="20" customFormat="false" ht="11.6" hidden="false" customHeight="true" outlineLevel="0" collapsed="false">
      <c r="A20" s="64" t="s">
        <v>75</v>
      </c>
      <c r="B20" s="65" t="n">
        <f aca="false">D64</f>
        <v>1564993.12549607</v>
      </c>
      <c r="C20" s="47" t="s">
        <v>76</v>
      </c>
      <c r="D20" s="53" t="n">
        <v>529</v>
      </c>
      <c r="E20" s="39" t="s">
        <v>29</v>
      </c>
      <c r="F20" s="49"/>
      <c r="G20" s="66" t="s">
        <v>77</v>
      </c>
      <c r="H20" s="63" t="s">
        <v>78</v>
      </c>
    </row>
    <row r="21" customFormat="false" ht="11.6" hidden="false" customHeight="true" outlineLevel="0" collapsed="false">
      <c r="A21" s="64" t="s">
        <v>79</v>
      </c>
      <c r="B21" s="65" t="n">
        <f aca="false">D74</f>
        <v>22235485.4953932</v>
      </c>
      <c r="C21" s="47" t="s">
        <v>80</v>
      </c>
      <c r="D21" s="53" t="n">
        <v>464</v>
      </c>
      <c r="E21" s="39" t="s">
        <v>29</v>
      </c>
      <c r="F21" s="49"/>
      <c r="G21" s="66" t="s">
        <v>77</v>
      </c>
      <c r="H21" s="63" t="s">
        <v>81</v>
      </c>
    </row>
    <row r="22" customFormat="false" ht="11.6" hidden="false" customHeight="true" outlineLevel="0" collapsed="false">
      <c r="A22" s="64" t="s">
        <v>82</v>
      </c>
      <c r="B22" s="65" t="n">
        <f aca="false">D68</f>
        <v>19.5604580228986</v>
      </c>
      <c r="C22" s="47" t="s">
        <v>83</v>
      </c>
      <c r="D22" s="53" t="n">
        <v>376</v>
      </c>
      <c r="E22" s="39" t="s">
        <v>29</v>
      </c>
      <c r="F22" s="49"/>
      <c r="G22" s="67" t="s">
        <v>84</v>
      </c>
      <c r="H22" s="68" t="s">
        <v>85</v>
      </c>
    </row>
    <row r="23" customFormat="false" ht="11.6" hidden="false" customHeight="true" outlineLevel="0" collapsed="false">
      <c r="A23" s="64" t="s">
        <v>86</v>
      </c>
      <c r="B23" s="65" t="n">
        <f aca="false">D74/D3</f>
        <v>277.915777114704</v>
      </c>
      <c r="C23" s="47" t="s">
        <v>87</v>
      </c>
      <c r="D23" s="53" t="n">
        <v>95</v>
      </c>
      <c r="E23" s="39" t="s">
        <v>29</v>
      </c>
      <c r="F23" s="49"/>
      <c r="G23" s="69" t="s">
        <v>88</v>
      </c>
      <c r="H23" s="70" t="s">
        <v>89</v>
      </c>
    </row>
    <row r="24" customFormat="false" ht="11.6" hidden="false" customHeight="true" outlineLevel="0" collapsed="false">
      <c r="A24" s="64" t="s">
        <v>90</v>
      </c>
      <c r="B24" s="65" t="n">
        <f aca="false">D90</f>
        <v>12.5987401259874</v>
      </c>
      <c r="C24" s="47" t="s">
        <v>91</v>
      </c>
      <c r="D24" s="48" t="n">
        <v>260</v>
      </c>
      <c r="E24" s="39" t="s">
        <v>92</v>
      </c>
      <c r="F24" s="71" t="n">
        <v>25</v>
      </c>
      <c r="G24" s="63" t="s">
        <v>93</v>
      </c>
      <c r="H24" s="72" t="s">
        <v>94</v>
      </c>
    </row>
    <row r="25" s="9" customFormat="true" ht="11.6" hidden="false" customHeight="true" outlineLevel="0" collapsed="false">
      <c r="A25" s="64" t="s">
        <v>95</v>
      </c>
      <c r="B25" s="65" t="n">
        <f aca="false">IF(D57&gt;D61,(1-D57/(D62+D9))*100,(1-(D11/100*(1-D12/100)+(1-D11/100)*(1-D12/100)*(1-D16/100)*(1-D15/100)*(1-D16/100)*(1-D12/100)))*100)</f>
        <v>41.0391647154045</v>
      </c>
      <c r="C25" s="47" t="s">
        <v>96</v>
      </c>
      <c r="D25" s="48" t="n">
        <v>161</v>
      </c>
      <c r="E25" s="39" t="s">
        <v>92</v>
      </c>
      <c r="F25" s="71" t="n">
        <v>25</v>
      </c>
      <c r="G25" s="63" t="s">
        <v>97</v>
      </c>
      <c r="H25" s="72" t="s">
        <v>94</v>
      </c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6"/>
      <c r="AJP25" s="6"/>
      <c r="AJQ25" s="6"/>
      <c r="AJR25" s="6"/>
      <c r="AJS25" s="6"/>
      <c r="AJT25" s="6"/>
      <c r="AJU25" s="6"/>
      <c r="AJV25" s="7"/>
      <c r="AJW25" s="7"/>
      <c r="AJX25" s="7"/>
      <c r="AJY25" s="7"/>
      <c r="AJZ25" s="7"/>
      <c r="AKA25" s="7"/>
      <c r="AKB25" s="7"/>
      <c r="AKC25" s="7"/>
      <c r="AKD25" s="7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9" customFormat="true" ht="11.6" hidden="false" customHeight="true" outlineLevel="0" collapsed="false">
      <c r="A26" s="73" t="s">
        <v>98</v>
      </c>
      <c r="B26" s="65" t="n">
        <f aca="false">D119</f>
        <v>615.335470090398</v>
      </c>
      <c r="C26" s="47" t="s">
        <v>99</v>
      </c>
      <c r="D26" s="48" t="n">
        <v>400</v>
      </c>
      <c r="E26" s="39" t="s">
        <v>92</v>
      </c>
      <c r="F26" s="71" t="n">
        <v>25</v>
      </c>
      <c r="G26" s="22" t="s">
        <v>100</v>
      </c>
      <c r="H26" s="50" t="s">
        <v>101</v>
      </c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6"/>
      <c r="AJP26" s="6"/>
      <c r="AJQ26" s="6"/>
      <c r="AJR26" s="6"/>
      <c r="AJS26" s="6"/>
      <c r="AJT26" s="6"/>
      <c r="AJU26" s="6"/>
      <c r="AJV26" s="7"/>
      <c r="AJW26" s="7"/>
      <c r="AJX26" s="7"/>
      <c r="AJY26" s="7"/>
      <c r="AJZ26" s="7"/>
      <c r="AKA26" s="7"/>
      <c r="AKB26" s="7"/>
      <c r="AKC26" s="7"/>
      <c r="AKD26" s="7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9" customFormat="true" ht="11.6" hidden="false" customHeight="true" outlineLevel="0" collapsed="false">
      <c r="A27" s="73" t="s">
        <v>102</v>
      </c>
      <c r="B27" s="65" t="n">
        <f aca="false">D124</f>
        <v>85.9795597375071</v>
      </c>
      <c r="C27" s="74" t="s">
        <v>103</v>
      </c>
      <c r="D27" s="75" t="n">
        <f aca="false">100-D28-D29</f>
        <v>50</v>
      </c>
      <c r="E27" s="39" t="s">
        <v>24</v>
      </c>
      <c r="F27" s="49"/>
      <c r="G27" s="23" t="s">
        <v>104</v>
      </c>
      <c r="H27" s="23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6"/>
      <c r="AJP27" s="6"/>
      <c r="AJQ27" s="6"/>
      <c r="AJR27" s="6"/>
      <c r="AJS27" s="6"/>
      <c r="AJT27" s="6"/>
      <c r="AJU27" s="6"/>
      <c r="AJV27" s="7"/>
      <c r="AJW27" s="7"/>
      <c r="AJX27" s="7"/>
      <c r="AJY27" s="7"/>
      <c r="AJZ27" s="7"/>
      <c r="AKA27" s="7"/>
      <c r="AKB27" s="7"/>
      <c r="AKC27" s="7"/>
      <c r="AKD27" s="7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9" customFormat="true" ht="11.6" hidden="false" customHeight="true" outlineLevel="0" collapsed="false">
      <c r="A28" s="64" t="s">
        <v>105</v>
      </c>
      <c r="B28" s="76" t="n">
        <f aca="false">D125</f>
        <v>701.315029827905</v>
      </c>
      <c r="C28" s="77" t="s">
        <v>106</v>
      </c>
      <c r="D28" s="78" t="n">
        <v>20</v>
      </c>
      <c r="E28" s="39" t="s">
        <v>24</v>
      </c>
      <c r="F28" s="49"/>
      <c r="G28" s="23" t="s">
        <v>107</v>
      </c>
      <c r="H28" s="23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6"/>
      <c r="AJP28" s="6"/>
      <c r="AJQ28" s="6"/>
      <c r="AJR28" s="6"/>
      <c r="AJS28" s="6"/>
      <c r="AJT28" s="6"/>
      <c r="AJU28" s="6"/>
      <c r="AJV28" s="7"/>
      <c r="AJW28" s="7"/>
      <c r="AJX28" s="7"/>
      <c r="AJY28" s="7"/>
      <c r="AJZ28" s="7"/>
      <c r="AKA28" s="7"/>
      <c r="AKB28" s="7"/>
      <c r="AKC28" s="7"/>
      <c r="AKD28" s="7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9" customFormat="true" ht="11.6" hidden="false" customHeight="true" outlineLevel="0" collapsed="false">
      <c r="A29" s="79" t="s">
        <v>108</v>
      </c>
      <c r="B29" s="80" t="n">
        <f aca="false">D126</f>
        <v>58.4429191523254</v>
      </c>
      <c r="C29" s="81" t="s">
        <v>109</v>
      </c>
      <c r="D29" s="82" t="n">
        <v>30</v>
      </c>
      <c r="E29" s="39" t="s">
        <v>24</v>
      </c>
      <c r="F29" s="49"/>
      <c r="G29" s="23" t="s">
        <v>110</v>
      </c>
      <c r="H29" s="23" t="s">
        <v>111</v>
      </c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6"/>
      <c r="AJP29" s="6"/>
      <c r="AJQ29" s="6"/>
      <c r="AJR29" s="6"/>
      <c r="AJS29" s="6"/>
      <c r="AJT29" s="6"/>
      <c r="AJU29" s="6"/>
      <c r="AJV29" s="7"/>
      <c r="AJW29" s="7"/>
      <c r="AJX29" s="7"/>
      <c r="AJY29" s="7"/>
      <c r="AJZ29" s="7"/>
      <c r="AKA29" s="7"/>
      <c r="AKB29" s="7"/>
      <c r="AKC29" s="7"/>
      <c r="AKD29" s="7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9" customFormat="true" ht="11.6" hidden="false" customHeight="true" outlineLevel="0" collapsed="false">
      <c r="A30" s="83"/>
      <c r="B30" s="84"/>
      <c r="C30" s="39" t="s">
        <v>112</v>
      </c>
      <c r="D30" s="53" t="n">
        <v>2.75</v>
      </c>
      <c r="E30" s="39"/>
      <c r="F30" s="49"/>
      <c r="G30" s="22" t="s">
        <v>113</v>
      </c>
      <c r="H30" s="23" t="s">
        <v>114</v>
      </c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6"/>
      <c r="AJP30" s="6"/>
      <c r="AJQ30" s="6"/>
      <c r="AJR30" s="6"/>
      <c r="AJS30" s="6"/>
      <c r="AJT30" s="6"/>
      <c r="AJU30" s="6"/>
      <c r="AJV30" s="7"/>
      <c r="AJW30" s="7"/>
      <c r="AJX30" s="7"/>
      <c r="AJY30" s="7"/>
      <c r="AJZ30" s="7"/>
      <c r="AKA30" s="7"/>
      <c r="AKB30" s="7"/>
      <c r="AKC30" s="7"/>
      <c r="AKD30" s="7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9" customFormat="true" ht="11.6" hidden="false" customHeight="true" outlineLevel="0" collapsed="false">
      <c r="A31" s="83"/>
      <c r="B31" s="85"/>
      <c r="C31" s="39" t="s">
        <v>115</v>
      </c>
      <c r="D31" s="48" t="n">
        <v>281</v>
      </c>
      <c r="E31" s="39" t="s">
        <v>92</v>
      </c>
      <c r="F31" s="71" t="n">
        <v>50</v>
      </c>
      <c r="G31" s="22" t="s">
        <v>116</v>
      </c>
      <c r="H31" s="86" t="s">
        <v>117</v>
      </c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6"/>
      <c r="AJP31" s="6"/>
      <c r="AJQ31" s="6"/>
      <c r="AJR31" s="6"/>
      <c r="AJS31" s="6"/>
      <c r="AJT31" s="6"/>
      <c r="AJU31" s="6"/>
      <c r="AJV31" s="7"/>
      <c r="AJW31" s="7"/>
      <c r="AJX31" s="7"/>
      <c r="AJY31" s="7"/>
      <c r="AJZ31" s="7"/>
      <c r="AKA31" s="7"/>
      <c r="AKB31" s="7"/>
      <c r="AKC31" s="7"/>
      <c r="AKD31" s="7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9" customFormat="true" ht="11.6" hidden="false" customHeight="true" outlineLevel="0" collapsed="false">
      <c r="A32" s="83"/>
      <c r="B32" s="85"/>
      <c r="C32" s="39" t="s">
        <v>118</v>
      </c>
      <c r="D32" s="53" t="n">
        <v>15</v>
      </c>
      <c r="E32" s="39" t="s">
        <v>24</v>
      </c>
      <c r="F32" s="49"/>
      <c r="G32" s="23" t="s">
        <v>55</v>
      </c>
      <c r="H32" s="23" t="s">
        <v>119</v>
      </c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6"/>
      <c r="AJP32" s="6"/>
      <c r="AJQ32" s="6"/>
      <c r="AJR32" s="6"/>
      <c r="AJS32" s="6"/>
      <c r="AJT32" s="6"/>
      <c r="AJU32" s="6"/>
      <c r="AJV32" s="7"/>
      <c r="AJW32" s="7"/>
      <c r="AJX32" s="7"/>
      <c r="AJY32" s="7"/>
      <c r="AJZ32" s="7"/>
      <c r="AKA32" s="7"/>
      <c r="AKB32" s="7"/>
      <c r="AKC32" s="7"/>
      <c r="AKD32" s="7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9" customFormat="true" ht="11.6" hidden="false" customHeight="true" outlineLevel="0" collapsed="false">
      <c r="A33" s="87"/>
      <c r="B33" s="87"/>
      <c r="C33" s="32" t="s">
        <v>120</v>
      </c>
      <c r="D33" s="58" t="n">
        <v>10</v>
      </c>
      <c r="E33" s="32" t="s">
        <v>92</v>
      </c>
      <c r="F33" s="59"/>
      <c r="G33" s="88" t="s">
        <v>121</v>
      </c>
      <c r="H33" s="36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7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9" customFormat="true" ht="11.6" hidden="false" customHeight="true" outlineLevel="0" collapsed="false">
      <c r="A34" s="51"/>
      <c r="B34" s="23" t="s">
        <v>122</v>
      </c>
      <c r="C34" s="39" t="s">
        <v>123</v>
      </c>
      <c r="D34" s="53" t="n">
        <v>0.611</v>
      </c>
      <c r="E34" s="39" t="s">
        <v>124</v>
      </c>
      <c r="F34" s="49"/>
      <c r="G34" s="89" t="s">
        <v>125</v>
      </c>
      <c r="H34" s="23" t="s">
        <v>126</v>
      </c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6"/>
      <c r="AJP34" s="6"/>
      <c r="AJQ34" s="6"/>
      <c r="AJR34" s="6"/>
      <c r="AJS34" s="6"/>
      <c r="AJT34" s="6"/>
      <c r="AJU34" s="6"/>
      <c r="AJV34" s="7"/>
      <c r="AJW34" s="7"/>
      <c r="AJX34" s="7"/>
      <c r="AJY34" s="7"/>
      <c r="AJZ34" s="7"/>
      <c r="AKA34" s="7"/>
      <c r="AKB34" s="7"/>
      <c r="AKC34" s="7"/>
      <c r="AKD34" s="7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9" customFormat="true" ht="11.6" hidden="false" customHeight="true" outlineLevel="0" collapsed="false">
      <c r="A35" s="44"/>
      <c r="B35" s="19"/>
      <c r="C35" s="39" t="s">
        <v>127</v>
      </c>
      <c r="D35" s="53" t="n">
        <v>2.7</v>
      </c>
      <c r="E35" s="39" t="s">
        <v>128</v>
      </c>
      <c r="F35" s="49"/>
      <c r="G35" s="22" t="s">
        <v>129</v>
      </c>
      <c r="H35" s="23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6"/>
      <c r="AJP35" s="6"/>
      <c r="AJQ35" s="6"/>
      <c r="AJR35" s="6"/>
      <c r="AJS35" s="6"/>
      <c r="AJT35" s="6"/>
      <c r="AJU35" s="6"/>
      <c r="AJV35" s="7"/>
      <c r="AJW35" s="7"/>
      <c r="AJX35" s="7"/>
      <c r="AJY35" s="7"/>
      <c r="AJZ35" s="7"/>
      <c r="AKA35" s="7"/>
      <c r="AKB35" s="7"/>
      <c r="AKC35" s="7"/>
      <c r="AKD35" s="7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9" customFormat="true" ht="11.6" hidden="false" customHeight="true" outlineLevel="0" collapsed="false">
      <c r="A36" s="90"/>
      <c r="B36" s="19"/>
      <c r="C36" s="39" t="s">
        <v>130</v>
      </c>
      <c r="D36" s="53" t="n">
        <v>0.4</v>
      </c>
      <c r="E36" s="39" t="s">
        <v>128</v>
      </c>
      <c r="F36" s="49"/>
      <c r="G36" s="22" t="s">
        <v>129</v>
      </c>
      <c r="H36" s="23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6"/>
      <c r="AJP36" s="6"/>
      <c r="AJQ36" s="6"/>
      <c r="AJR36" s="6"/>
      <c r="AJS36" s="6"/>
      <c r="AJT36" s="6"/>
      <c r="AJU36" s="6"/>
      <c r="AJV36" s="7"/>
      <c r="AJW36" s="7"/>
      <c r="AJX36" s="7"/>
      <c r="AJY36" s="7"/>
      <c r="AJZ36" s="7"/>
      <c r="AKA36" s="7"/>
      <c r="AKB36" s="7"/>
      <c r="AKC36" s="7"/>
      <c r="AKD36" s="7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1.6" hidden="false" customHeight="true" outlineLevel="0" collapsed="false">
      <c r="A37" s="44"/>
      <c r="B37" s="19"/>
      <c r="C37" s="39" t="s">
        <v>131</v>
      </c>
      <c r="D37" s="53" t="n">
        <v>10</v>
      </c>
      <c r="E37" s="39" t="s">
        <v>132</v>
      </c>
      <c r="F37" s="49"/>
      <c r="G37" s="22" t="s">
        <v>133</v>
      </c>
      <c r="H37" s="23"/>
    </row>
    <row r="38" customFormat="false" ht="11.6" hidden="false" customHeight="true" outlineLevel="0" collapsed="false">
      <c r="A38" s="44"/>
      <c r="B38" s="19"/>
      <c r="C38" s="39" t="s">
        <v>134</v>
      </c>
      <c r="D38" s="53" t="n">
        <v>10</v>
      </c>
      <c r="E38" s="39" t="s">
        <v>132</v>
      </c>
      <c r="F38" s="49"/>
      <c r="G38" s="23" t="s">
        <v>55</v>
      </c>
      <c r="H38" s="23"/>
    </row>
    <row r="39" customFormat="false" ht="11.6" hidden="false" customHeight="true" outlineLevel="0" collapsed="false">
      <c r="A39" s="44"/>
      <c r="B39" s="19"/>
      <c r="C39" s="39" t="s">
        <v>135</v>
      </c>
      <c r="D39" s="53" t="n">
        <v>83</v>
      </c>
      <c r="E39" s="39" t="s">
        <v>132</v>
      </c>
      <c r="F39" s="49"/>
      <c r="G39" s="23" t="s">
        <v>55</v>
      </c>
      <c r="H39" s="23"/>
    </row>
    <row r="40" customFormat="false" ht="11.6" hidden="false" customHeight="true" outlineLevel="0" collapsed="false">
      <c r="A40" s="44"/>
      <c r="B40" s="19"/>
      <c r="C40" s="39" t="s">
        <v>136</v>
      </c>
      <c r="D40" s="53" t="n">
        <v>43</v>
      </c>
      <c r="E40" s="39" t="s">
        <v>132</v>
      </c>
      <c r="F40" s="49"/>
      <c r="G40" s="23" t="s">
        <v>55</v>
      </c>
      <c r="H40" s="23"/>
    </row>
    <row r="41" customFormat="false" ht="11.6" hidden="false" customHeight="true" outlineLevel="0" collapsed="false">
      <c r="A41" s="46"/>
      <c r="B41" s="19"/>
      <c r="C41" s="39" t="s">
        <v>137</v>
      </c>
      <c r="D41" s="53" t="n">
        <v>2</v>
      </c>
      <c r="E41" s="39" t="s">
        <v>138</v>
      </c>
      <c r="F41" s="49"/>
      <c r="G41" s="23" t="s">
        <v>55</v>
      </c>
      <c r="H41" s="23"/>
    </row>
    <row r="42" customFormat="false" ht="11.6" hidden="false" customHeight="true" outlineLevel="0" collapsed="false">
      <c r="A42" s="51"/>
      <c r="B42" s="19"/>
      <c r="C42" s="39" t="s">
        <v>139</v>
      </c>
      <c r="D42" s="53" t="n">
        <v>30</v>
      </c>
      <c r="E42" s="39" t="s">
        <v>140</v>
      </c>
      <c r="F42" s="49"/>
      <c r="G42" s="91" t="s">
        <v>141</v>
      </c>
      <c r="H42" s="23" t="s">
        <v>142</v>
      </c>
    </row>
    <row r="43" customFormat="false" ht="11.6" hidden="false" customHeight="true" outlineLevel="0" collapsed="false">
      <c r="A43" s="51"/>
      <c r="B43" s="19"/>
      <c r="C43" s="39" t="s">
        <v>143</v>
      </c>
      <c r="D43" s="53" t="n">
        <v>7</v>
      </c>
      <c r="E43" s="39" t="s">
        <v>144</v>
      </c>
      <c r="F43" s="49"/>
      <c r="G43" s="23" t="s">
        <v>55</v>
      </c>
      <c r="H43" s="23"/>
    </row>
    <row r="44" customFormat="false" ht="11.6" hidden="false" customHeight="true" outlineLevel="0" collapsed="false">
      <c r="A44" s="51"/>
      <c r="B44" s="19"/>
      <c r="C44" s="39" t="s">
        <v>145</v>
      </c>
      <c r="D44" s="53" t="n">
        <v>25</v>
      </c>
      <c r="E44" s="39" t="s">
        <v>92</v>
      </c>
      <c r="F44" s="92" t="n">
        <v>50</v>
      </c>
      <c r="G44" s="23" t="s">
        <v>55</v>
      </c>
      <c r="H44" s="23"/>
    </row>
    <row r="45" customFormat="false" ht="11.6" hidden="false" customHeight="true" outlineLevel="0" collapsed="false">
      <c r="A45" s="51"/>
      <c r="B45" s="19"/>
      <c r="C45" s="39" t="s">
        <v>146</v>
      </c>
      <c r="D45" s="53" t="n">
        <v>80</v>
      </c>
      <c r="E45" s="39" t="s">
        <v>92</v>
      </c>
      <c r="F45" s="92" t="n">
        <v>50</v>
      </c>
      <c r="G45" s="23" t="s">
        <v>147</v>
      </c>
      <c r="H45" s="23" t="s">
        <v>148</v>
      </c>
    </row>
    <row r="46" customFormat="false" ht="11.6" hidden="false" customHeight="true" outlineLevel="0" collapsed="false">
      <c r="A46" s="51"/>
      <c r="B46" s="19"/>
      <c r="C46" s="39" t="s">
        <v>149</v>
      </c>
      <c r="D46" s="53" t="n">
        <v>100</v>
      </c>
      <c r="E46" s="39" t="s">
        <v>150</v>
      </c>
      <c r="F46" s="92" t="n">
        <v>50</v>
      </c>
      <c r="G46" s="22" t="s">
        <v>151</v>
      </c>
      <c r="H46" s="23" t="s">
        <v>152</v>
      </c>
    </row>
    <row r="47" customFormat="false" ht="11.6" hidden="false" customHeight="true" outlineLevel="0" collapsed="false">
      <c r="A47" s="93"/>
      <c r="B47" s="31"/>
      <c r="C47" s="32" t="s">
        <v>153</v>
      </c>
      <c r="D47" s="33" t="n">
        <v>1000000</v>
      </c>
      <c r="E47" s="32" t="s">
        <v>154</v>
      </c>
      <c r="F47" s="94" t="n">
        <v>50</v>
      </c>
      <c r="G47" s="36" t="s">
        <v>55</v>
      </c>
      <c r="H47" s="36"/>
      <c r="AJV47" s="6"/>
      <c r="AJW47" s="6"/>
      <c r="AJX47" s="6"/>
      <c r="AJY47" s="6"/>
      <c r="AJZ47" s="6"/>
      <c r="AKA47" s="6"/>
      <c r="AKB47" s="6"/>
      <c r="AKC47" s="6"/>
    </row>
    <row r="48" customFormat="false" ht="11.6" hidden="false" customHeight="true" outlineLevel="0" collapsed="false">
      <c r="A48" s="95"/>
      <c r="B48" s="23" t="s">
        <v>155</v>
      </c>
      <c r="C48" s="3" t="s">
        <v>156</v>
      </c>
      <c r="D48" s="48" t="n">
        <v>1000</v>
      </c>
      <c r="E48" s="39" t="s">
        <v>150</v>
      </c>
      <c r="F48" s="71" t="n">
        <v>25</v>
      </c>
      <c r="G48" s="22" t="s">
        <v>157</v>
      </c>
      <c r="H48" s="23" t="s">
        <v>158</v>
      </c>
    </row>
    <row r="49" customFormat="false" ht="11.6" hidden="false" customHeight="true" outlineLevel="0" collapsed="false">
      <c r="A49" s="95"/>
      <c r="B49" s="19"/>
      <c r="C49" s="3" t="s">
        <v>159</v>
      </c>
      <c r="D49" s="48" t="n">
        <v>304</v>
      </c>
      <c r="E49" s="39" t="s">
        <v>150</v>
      </c>
      <c r="F49" s="71" t="n">
        <v>25</v>
      </c>
      <c r="G49" s="91" t="s">
        <v>160</v>
      </c>
      <c r="H49" s="23" t="s">
        <v>161</v>
      </c>
    </row>
    <row r="50" customFormat="false" ht="11.6" hidden="false" customHeight="true" outlineLevel="0" collapsed="false">
      <c r="A50" s="46"/>
      <c r="B50" s="19"/>
      <c r="C50" s="3" t="s">
        <v>162</v>
      </c>
      <c r="D50" s="96" t="n">
        <v>304</v>
      </c>
      <c r="E50" s="39" t="s">
        <v>163</v>
      </c>
      <c r="F50" s="92" t="n">
        <v>25</v>
      </c>
      <c r="G50" s="91" t="s">
        <v>160</v>
      </c>
      <c r="H50" s="23" t="s">
        <v>164</v>
      </c>
    </row>
    <row r="51" s="9" customFormat="true" ht="11.6" hidden="false" customHeight="true" outlineLevel="0" collapsed="false">
      <c r="A51" s="46"/>
      <c r="B51" s="23" t="s">
        <v>165</v>
      </c>
      <c r="C51" s="42" t="s">
        <v>166</v>
      </c>
      <c r="D51" s="53" t="n">
        <v>0.5</v>
      </c>
      <c r="E51" s="39" t="s">
        <v>167</v>
      </c>
      <c r="F51" s="92" t="n">
        <v>20</v>
      </c>
      <c r="G51" s="91" t="s">
        <v>168</v>
      </c>
      <c r="H51" s="23"/>
      <c r="AJO51" s="97"/>
      <c r="AJP51" s="97"/>
      <c r="AJQ51" s="6"/>
      <c r="AJR51" s="6"/>
      <c r="AJS51" s="6"/>
      <c r="AJT51" s="6"/>
      <c r="AJU51" s="6"/>
      <c r="AJV51" s="7"/>
      <c r="AJW51" s="7"/>
      <c r="AJX51" s="7"/>
      <c r="AJY51" s="7"/>
      <c r="AJZ51" s="7"/>
      <c r="AKA51" s="7"/>
      <c r="AKB51" s="7"/>
      <c r="AKC51" s="7"/>
      <c r="AKD51" s="7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1.6" hidden="false" customHeight="true" outlineLevel="0" collapsed="false">
      <c r="A52" s="51"/>
      <c r="B52" s="19"/>
      <c r="C52" s="20" t="s">
        <v>169</v>
      </c>
      <c r="D52" s="98" t="n">
        <v>0.32</v>
      </c>
      <c r="E52" s="39" t="s">
        <v>170</v>
      </c>
      <c r="F52" s="49"/>
      <c r="G52" s="23" t="s">
        <v>55</v>
      </c>
      <c r="H52" s="23"/>
    </row>
    <row r="53" customFormat="false" ht="11.6" hidden="false" customHeight="true" outlineLevel="0" collapsed="false">
      <c r="A53" s="51"/>
      <c r="B53" s="19"/>
      <c r="C53" s="20" t="s">
        <v>171</v>
      </c>
      <c r="D53" s="98" t="n">
        <v>0.1</v>
      </c>
      <c r="E53" s="39" t="s">
        <v>170</v>
      </c>
      <c r="F53" s="49"/>
      <c r="G53" s="23" t="s">
        <v>55</v>
      </c>
      <c r="H53" s="23"/>
    </row>
    <row r="54" customFormat="false" ht="11.6" hidden="false" customHeight="true" outlineLevel="0" collapsed="false">
      <c r="A54" s="51"/>
      <c r="B54" s="19"/>
      <c r="C54" s="42" t="s">
        <v>172</v>
      </c>
      <c r="D54" s="99" t="n">
        <v>0.06</v>
      </c>
      <c r="E54" s="39" t="s">
        <v>170</v>
      </c>
      <c r="F54" s="49"/>
      <c r="G54" s="23" t="s">
        <v>55</v>
      </c>
      <c r="H54" s="23"/>
    </row>
    <row r="55" customFormat="false" ht="11.6" hidden="false" customHeight="true" outlineLevel="0" collapsed="false">
      <c r="A55" s="51"/>
      <c r="B55" s="19"/>
      <c r="C55" s="20" t="s">
        <v>173</v>
      </c>
      <c r="D55" s="53" t="n">
        <v>80</v>
      </c>
      <c r="E55" s="39" t="s">
        <v>174</v>
      </c>
      <c r="F55" s="49"/>
      <c r="G55" s="22" t="s">
        <v>175</v>
      </c>
      <c r="H55" s="23" t="s">
        <v>176</v>
      </c>
    </row>
    <row r="56" customFormat="false" ht="11.6" hidden="false" customHeight="true" outlineLevel="0" collapsed="false">
      <c r="A56" s="100"/>
      <c r="B56" s="31"/>
      <c r="C56" s="32" t="s">
        <v>177</v>
      </c>
      <c r="D56" s="58" t="n">
        <v>20</v>
      </c>
      <c r="E56" s="32" t="s">
        <v>24</v>
      </c>
      <c r="F56" s="59"/>
      <c r="G56" s="36" t="s">
        <v>178</v>
      </c>
      <c r="H56" s="36"/>
      <c r="AJV56" s="6"/>
      <c r="AJW56" s="6"/>
      <c r="AJX56" s="6"/>
      <c r="AJY56" s="6"/>
      <c r="AJZ56" s="6"/>
      <c r="AKA56" s="6"/>
      <c r="AKB56" s="6"/>
      <c r="AKC56" s="6"/>
    </row>
    <row r="57" customFormat="false" ht="11.6" hidden="false" customHeight="true" outlineLevel="0" collapsed="false">
      <c r="A57" s="101" t="s">
        <v>179</v>
      </c>
      <c r="B57" s="23" t="s">
        <v>27</v>
      </c>
      <c r="C57" s="102" t="s">
        <v>180</v>
      </c>
      <c r="D57" s="103" t="n">
        <f aca="false">D3*D5*D7/(1-D6/100)</f>
        <v>394392376.470588</v>
      </c>
      <c r="E57" s="102" t="s">
        <v>38</v>
      </c>
      <c r="F57" s="39"/>
      <c r="G57" s="23" t="s">
        <v>181</v>
      </c>
      <c r="H57" s="23" t="s">
        <v>182</v>
      </c>
    </row>
    <row r="58" customFormat="false" ht="11.6" hidden="false" customHeight="true" outlineLevel="0" collapsed="false">
      <c r="A58" s="104" t="s">
        <v>183</v>
      </c>
      <c r="B58" s="23"/>
      <c r="C58" s="39" t="s">
        <v>184</v>
      </c>
      <c r="D58" s="105" t="n">
        <f aca="false">D57/D3</f>
        <v>4929.41176470588</v>
      </c>
      <c r="E58" s="39" t="s">
        <v>33</v>
      </c>
      <c r="F58" s="39"/>
      <c r="G58" s="23"/>
      <c r="H58" s="23"/>
    </row>
    <row r="59" customFormat="false" ht="11.6" hidden="false" customHeight="true" outlineLevel="0" collapsed="false">
      <c r="A59" s="106"/>
      <c r="B59" s="23"/>
      <c r="C59" s="39" t="s">
        <v>185</v>
      </c>
      <c r="D59" s="107" t="n">
        <f aca="false">(D57-D8*D3/2)/183/24*2</f>
        <v>153418.318975678</v>
      </c>
      <c r="E59" s="39" t="s">
        <v>186</v>
      </c>
      <c r="F59" s="39"/>
      <c r="G59" s="23" t="s">
        <v>187</v>
      </c>
      <c r="H59" s="23"/>
    </row>
    <row r="60" customFormat="false" ht="11.6" hidden="false" customHeight="true" outlineLevel="0" collapsed="false">
      <c r="A60" s="108"/>
      <c r="B60" s="36"/>
      <c r="C60" s="32" t="s">
        <v>188</v>
      </c>
      <c r="D60" s="109" t="n">
        <f aca="false">D59/D3</f>
        <v>1.91753723347262</v>
      </c>
      <c r="E60" s="32" t="s">
        <v>189</v>
      </c>
      <c r="F60" s="32"/>
      <c r="G60" s="36"/>
      <c r="H60" s="36"/>
      <c r="AJV60" s="6"/>
      <c r="AJW60" s="6"/>
      <c r="AJX60" s="6"/>
      <c r="AJY60" s="6"/>
      <c r="AJZ60" s="6"/>
      <c r="AKA60" s="6"/>
      <c r="AKB60" s="6"/>
      <c r="AKC60" s="6"/>
    </row>
    <row r="61" customFormat="false" ht="11.6" hidden="false" customHeight="true" outlineLevel="0" collapsed="false">
      <c r="A61" s="106"/>
      <c r="B61" s="43" t="s">
        <v>36</v>
      </c>
      <c r="C61" s="20" t="s">
        <v>190</v>
      </c>
      <c r="D61" s="110" t="n">
        <f aca="false">D9*(D11/100*(1-D12/100)+(1-D11/100)*(1-D12/100)*(1-D16/100)*(1-D15/100)*(1-D16/100)*(1-D12/100))</f>
        <v>37870411.776</v>
      </c>
      <c r="E61" s="111" t="s">
        <v>38</v>
      </c>
      <c r="F61" s="112"/>
      <c r="G61" s="23" t="s">
        <v>191</v>
      </c>
      <c r="H61" s="23"/>
    </row>
    <row r="62" customFormat="false" ht="11.6" hidden="false" customHeight="true" outlineLevel="0" collapsed="false">
      <c r="A62" s="106"/>
      <c r="B62" s="43"/>
      <c r="C62" s="20" t="s">
        <v>192</v>
      </c>
      <c r="D62" s="110" t="n">
        <f aca="false">IF(D57&lt;D61,0,(D57-D61)*(D11/100+(1-D11/100)/(1-D12/100)/(1-D16/100)/(1-D15/100)/(1-D16/100)/(1-D12/100))*1.1)</f>
        <v>608905680.468929</v>
      </c>
      <c r="E62" s="111" t="s">
        <v>38</v>
      </c>
      <c r="F62" s="112"/>
      <c r="G62" s="23" t="s">
        <v>193</v>
      </c>
      <c r="H62" s="23"/>
    </row>
    <row r="63" customFormat="false" ht="11.6" hidden="false" customHeight="true" outlineLevel="0" collapsed="false">
      <c r="A63" s="106"/>
      <c r="B63" s="43"/>
      <c r="C63" s="20" t="s">
        <v>194</v>
      </c>
      <c r="D63" s="110" t="n">
        <f aca="false">(D20*D27+D21*D28+D22*D29)/100*(D18/D17)*(1-D14/100)</f>
        <v>389.078821209465</v>
      </c>
      <c r="E63" s="111" t="s">
        <v>29</v>
      </c>
      <c r="F63" s="112"/>
      <c r="G63" s="23"/>
      <c r="H63" s="23"/>
    </row>
    <row r="64" s="9" customFormat="true" ht="11.6" hidden="false" customHeight="true" outlineLevel="0" collapsed="false">
      <c r="A64" s="106"/>
      <c r="B64" s="43"/>
      <c r="C64" s="102" t="s">
        <v>195</v>
      </c>
      <c r="D64" s="103" t="n">
        <f aca="false">D62/D63</f>
        <v>1564993.12549607</v>
      </c>
      <c r="E64" s="102" t="s">
        <v>42</v>
      </c>
      <c r="F64" s="39"/>
      <c r="G64" s="23" t="s">
        <v>196</v>
      </c>
      <c r="H64" s="23" t="s">
        <v>197</v>
      </c>
      <c r="AIS64" s="5"/>
      <c r="AIT64" s="5"/>
      <c r="AIU64" s="5"/>
      <c r="AIV64" s="5"/>
      <c r="AIW64" s="5"/>
      <c r="AIX64" s="5"/>
      <c r="AIY64" s="5"/>
      <c r="AIZ64" s="5"/>
      <c r="AJA64" s="5"/>
      <c r="AJB64" s="5"/>
      <c r="AJC64" s="5"/>
      <c r="AJD64" s="5"/>
      <c r="AJE64" s="5"/>
      <c r="AJF64" s="5"/>
      <c r="AJG64" s="5"/>
      <c r="AJH64" s="5"/>
      <c r="AJI64" s="5"/>
      <c r="AJJ64" s="5"/>
      <c r="AJK64" s="5"/>
      <c r="AJL64" s="5"/>
      <c r="AJM64" s="5"/>
      <c r="AJN64" s="5"/>
      <c r="AJO64" s="6"/>
      <c r="AJP64" s="6"/>
      <c r="AJQ64" s="6"/>
      <c r="AJR64" s="6"/>
      <c r="AJS64" s="6"/>
      <c r="AJT64" s="6"/>
      <c r="AJU64" s="6"/>
      <c r="AJV64" s="7"/>
      <c r="AJW64" s="7"/>
      <c r="AJX64" s="7"/>
      <c r="AJY64" s="7"/>
      <c r="AJZ64" s="7"/>
      <c r="AKA64" s="7"/>
      <c r="AKB64" s="7"/>
      <c r="AKC64" s="7"/>
      <c r="AKD64" s="7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s="9" customFormat="true" ht="11.6" hidden="false" customHeight="true" outlineLevel="0" collapsed="false">
      <c r="A65" s="106"/>
      <c r="B65" s="43"/>
      <c r="C65" s="39" t="s">
        <v>198</v>
      </c>
      <c r="D65" s="105" t="n">
        <f aca="false">IF(D64&lt;D10,0,D64-D10)</f>
        <v>564993.125496074</v>
      </c>
      <c r="E65" s="3" t="s">
        <v>42</v>
      </c>
      <c r="F65" s="39"/>
      <c r="G65" s="23"/>
      <c r="H65" s="23"/>
      <c r="AIS65" s="5"/>
      <c r="AIT65" s="5"/>
      <c r="AIU65" s="5"/>
      <c r="AIV65" s="5"/>
      <c r="AIW65" s="5"/>
      <c r="AIX65" s="5"/>
      <c r="AIY65" s="5"/>
      <c r="AIZ65" s="5"/>
      <c r="AJA65" s="5"/>
      <c r="AJB65" s="5"/>
      <c r="AJC65" s="5"/>
      <c r="AJD65" s="5"/>
      <c r="AJE65" s="5"/>
      <c r="AJF65" s="5"/>
      <c r="AJG65" s="5"/>
      <c r="AJH65" s="5"/>
      <c r="AJI65" s="5"/>
      <c r="AJJ65" s="5"/>
      <c r="AJK65" s="5"/>
      <c r="AJL65" s="5"/>
      <c r="AJM65" s="5"/>
      <c r="AJN65" s="5"/>
      <c r="AJO65" s="6"/>
      <c r="AJP65" s="6"/>
      <c r="AJQ65" s="6"/>
      <c r="AJR65" s="6"/>
      <c r="AJS65" s="6"/>
      <c r="AJT65" s="6"/>
      <c r="AJU65" s="6"/>
      <c r="AJV65" s="7"/>
      <c r="AJW65" s="7"/>
      <c r="AJX65" s="7"/>
      <c r="AJY65" s="7"/>
      <c r="AJZ65" s="7"/>
      <c r="AKA65" s="7"/>
      <c r="AKB65" s="7"/>
      <c r="AKC65" s="7"/>
      <c r="AKD65" s="7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s="9" customFormat="true" ht="11.6" hidden="false" customHeight="true" outlineLevel="0" collapsed="false">
      <c r="A66" s="106"/>
      <c r="B66" s="43"/>
      <c r="C66" s="39" t="s">
        <v>199</v>
      </c>
      <c r="D66" s="107" t="n">
        <f aca="false">D65*D30</f>
        <v>1553731.0951142</v>
      </c>
      <c r="E66" s="3" t="s">
        <v>42</v>
      </c>
      <c r="F66" s="39"/>
      <c r="G66" s="23"/>
      <c r="H66" s="23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6"/>
      <c r="AJP66" s="6"/>
      <c r="AJQ66" s="6"/>
      <c r="AJR66" s="6"/>
      <c r="AJS66" s="6"/>
      <c r="AJT66" s="6"/>
      <c r="AJU66" s="6"/>
      <c r="AJV66" s="7"/>
      <c r="AJW66" s="7"/>
      <c r="AJX66" s="7"/>
      <c r="AJY66" s="7"/>
      <c r="AJZ66" s="7"/>
      <c r="AKA66" s="7"/>
      <c r="AKB66" s="7"/>
      <c r="AKC66" s="7"/>
      <c r="AKD66" s="7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1.6" hidden="false" customHeight="true" outlineLevel="0" collapsed="false">
      <c r="A67" s="106"/>
      <c r="B67" s="43" t="s">
        <v>65</v>
      </c>
      <c r="C67" s="39" t="s">
        <v>200</v>
      </c>
      <c r="D67" s="107" t="n">
        <f aca="false">D66^0.5</f>
        <v>1246.48750299159</v>
      </c>
      <c r="E67" s="3" t="s">
        <v>138</v>
      </c>
      <c r="F67" s="39"/>
      <c r="G67" s="113"/>
      <c r="H67" s="23"/>
    </row>
    <row r="68" customFormat="false" ht="11.6" hidden="false" customHeight="true" outlineLevel="0" collapsed="false">
      <c r="A68" s="106"/>
      <c r="B68" s="43"/>
      <c r="C68" s="102" t="s">
        <v>201</v>
      </c>
      <c r="D68" s="114" t="n">
        <f aca="false">D64/D3</f>
        <v>19.5604580228986</v>
      </c>
      <c r="E68" s="102" t="s">
        <v>21</v>
      </c>
      <c r="F68" s="39"/>
      <c r="G68" s="23"/>
      <c r="H68" s="23"/>
    </row>
    <row r="69" customFormat="false" ht="11.6" hidden="false" customHeight="true" outlineLevel="0" collapsed="false">
      <c r="A69" s="106"/>
      <c r="B69" s="43"/>
      <c r="C69" s="39" t="s">
        <v>202</v>
      </c>
      <c r="D69" s="107" t="n">
        <f aca="false">D66/D3</f>
        <v>19.4196967192556</v>
      </c>
      <c r="E69" s="3" t="s">
        <v>21</v>
      </c>
      <c r="F69" s="39"/>
      <c r="G69" s="115"/>
      <c r="H69" s="23"/>
    </row>
    <row r="70" customFormat="false" ht="11.6" hidden="false" customHeight="true" outlineLevel="0" collapsed="false">
      <c r="A70" s="108"/>
      <c r="B70" s="116"/>
      <c r="C70" s="117" t="s">
        <v>203</v>
      </c>
      <c r="D70" s="118" t="n">
        <f aca="false">D64*D29/100*D23</f>
        <v>44602304.0766381</v>
      </c>
      <c r="E70" s="119" t="s">
        <v>38</v>
      </c>
      <c r="F70" s="120"/>
      <c r="G70" s="36"/>
      <c r="H70" s="36"/>
      <c r="AJV70" s="6"/>
      <c r="AJW70" s="6"/>
      <c r="AJX70" s="6"/>
      <c r="AJY70" s="6"/>
      <c r="AJZ70" s="6"/>
      <c r="AKA70" s="6"/>
      <c r="AKB70" s="6"/>
      <c r="AKC70" s="6"/>
    </row>
    <row r="71" customFormat="false" ht="11.6" hidden="false" customHeight="true" outlineLevel="0" collapsed="false">
      <c r="A71" s="106"/>
      <c r="B71" s="23" t="s">
        <v>204</v>
      </c>
      <c r="C71" s="39" t="s">
        <v>205</v>
      </c>
      <c r="D71" s="107" t="n">
        <f aca="false">D39-D40</f>
        <v>40</v>
      </c>
      <c r="E71" s="39" t="s">
        <v>206</v>
      </c>
      <c r="F71" s="39"/>
      <c r="G71" s="23"/>
      <c r="H71" s="23"/>
    </row>
    <row r="72" customFormat="false" ht="11.6" hidden="false" customHeight="true" outlineLevel="0" collapsed="false">
      <c r="A72" s="106"/>
      <c r="B72" s="43"/>
      <c r="C72" s="39" t="s">
        <v>207</v>
      </c>
      <c r="D72" s="121" t="n">
        <f aca="false">(D39+D40)/2</f>
        <v>63</v>
      </c>
      <c r="E72" s="39" t="s">
        <v>132</v>
      </c>
      <c r="F72" s="39"/>
      <c r="G72" s="23"/>
      <c r="H72" s="23"/>
    </row>
    <row r="73" customFormat="false" ht="11.6" hidden="false" customHeight="true" outlineLevel="0" collapsed="false">
      <c r="A73" s="106"/>
      <c r="B73" s="23"/>
      <c r="C73" s="39" t="s">
        <v>208</v>
      </c>
      <c r="D73" s="107" t="n">
        <f aca="false">D57*(1-D11/100)/(1-D12/100)/(1-D16/100)/(1-D15/100)/(1-D16/100)/(1-D12/100)*1.1</f>
        <v>543435265.507411</v>
      </c>
      <c r="E73" s="39" t="s">
        <v>38</v>
      </c>
      <c r="F73" s="39"/>
      <c r="G73" s="113" t="s">
        <v>209</v>
      </c>
      <c r="H73" s="113" t="s">
        <v>210</v>
      </c>
    </row>
    <row r="74" customFormat="false" ht="11.6" hidden="false" customHeight="true" outlineLevel="0" collapsed="false">
      <c r="A74" s="106"/>
      <c r="B74" s="23"/>
      <c r="C74" s="102" t="s">
        <v>211</v>
      </c>
      <c r="D74" s="114" t="n">
        <f aca="false">D73/D34/D71</f>
        <v>22235485.4953932</v>
      </c>
      <c r="E74" s="102" t="s">
        <v>212</v>
      </c>
      <c r="F74" s="39"/>
      <c r="G74" s="23"/>
      <c r="H74" s="23"/>
    </row>
    <row r="75" customFormat="false" ht="11.6" hidden="false" customHeight="true" outlineLevel="0" collapsed="false">
      <c r="A75" s="106"/>
      <c r="B75" s="23"/>
      <c r="C75" s="122" t="s">
        <v>213</v>
      </c>
      <c r="D75" s="123" t="n">
        <f aca="false">(4*D74/PI())^(1/3)</f>
        <v>304.779377955995</v>
      </c>
      <c r="E75" s="122" t="s">
        <v>138</v>
      </c>
      <c r="F75" s="124" t="s">
        <v>56</v>
      </c>
      <c r="G75" s="23" t="s">
        <v>214</v>
      </c>
      <c r="H75" s="23"/>
    </row>
    <row r="76" customFormat="false" ht="11.6" hidden="false" customHeight="true" outlineLevel="0" collapsed="false">
      <c r="A76" s="106"/>
      <c r="B76" s="23"/>
      <c r="C76" s="122" t="s">
        <v>215</v>
      </c>
      <c r="D76" s="125" t="n">
        <v>140</v>
      </c>
      <c r="E76" s="122" t="s">
        <v>138</v>
      </c>
      <c r="F76" s="124" t="s">
        <v>216</v>
      </c>
      <c r="G76" s="23" t="s">
        <v>217</v>
      </c>
      <c r="H76" s="23"/>
    </row>
    <row r="77" customFormat="false" ht="11.6" hidden="false" customHeight="true" outlineLevel="0" collapsed="false">
      <c r="A77" s="106"/>
      <c r="B77" s="23"/>
      <c r="C77" s="122" t="s">
        <v>218</v>
      </c>
      <c r="D77" s="123" t="n">
        <f aca="false">(D74/D76*4/PI())^0.5</f>
        <v>449.691159329853</v>
      </c>
      <c r="E77" s="122" t="s">
        <v>138</v>
      </c>
      <c r="F77" s="126"/>
      <c r="G77" s="23"/>
      <c r="H77" s="23"/>
    </row>
    <row r="78" customFormat="false" ht="11.6" hidden="false" customHeight="true" outlineLevel="0" collapsed="false">
      <c r="A78" s="106"/>
      <c r="B78" s="23"/>
      <c r="C78" s="39" t="s">
        <v>219</v>
      </c>
      <c r="D78" s="107" t="n">
        <f aca="false">PI()/4*D77^2</f>
        <v>158824.896395666</v>
      </c>
      <c r="E78" s="3" t="s">
        <v>42</v>
      </c>
      <c r="G78" s="23"/>
      <c r="H78" s="23"/>
    </row>
    <row r="79" customFormat="false" ht="11.6" hidden="false" customHeight="true" outlineLevel="0" collapsed="false">
      <c r="A79" s="106"/>
      <c r="B79" s="23"/>
      <c r="C79" s="39" t="s">
        <v>220</v>
      </c>
      <c r="D79" s="127" t="n">
        <f aca="false">D19/24*D64*D63/D17/4.2/1000/(D39-D72)/D78</f>
        <v>1.25001877507622E-005</v>
      </c>
      <c r="E79" s="39" t="s">
        <v>221</v>
      </c>
      <c r="F79" s="128"/>
      <c r="G79" s="23" t="s">
        <v>222</v>
      </c>
      <c r="H79" s="23" t="s">
        <v>223</v>
      </c>
    </row>
    <row r="80" customFormat="false" ht="11.6" hidden="false" customHeight="true" outlineLevel="0" collapsed="false">
      <c r="A80" s="106"/>
      <c r="B80" s="23"/>
      <c r="C80" s="39" t="s">
        <v>224</v>
      </c>
      <c r="D80" s="127" t="n">
        <f aca="false">D59/4.2/1000/(D40-33)/D78</f>
        <v>2.29990209429672E-005</v>
      </c>
      <c r="E80" s="39" t="s">
        <v>221</v>
      </c>
      <c r="F80" s="128"/>
      <c r="G80" s="23" t="s">
        <v>225</v>
      </c>
      <c r="H80" s="23" t="s">
        <v>226</v>
      </c>
    </row>
    <row r="81" customFormat="false" ht="11.6" hidden="false" customHeight="true" outlineLevel="0" collapsed="false">
      <c r="A81" s="19"/>
      <c r="B81" s="19"/>
      <c r="C81" s="39" t="s">
        <v>227</v>
      </c>
      <c r="D81" s="107" t="n">
        <f aca="false">D59/(1-D16/100)/(1-D12/100)/4.2/1000/(D72-33)*3600/D42</f>
        <v>188.289542189099</v>
      </c>
      <c r="E81" s="39" t="s">
        <v>228</v>
      </c>
      <c r="F81" s="129"/>
      <c r="G81" s="23" t="s">
        <v>229</v>
      </c>
      <c r="H81" s="23" t="s">
        <v>230</v>
      </c>
    </row>
    <row r="82" customFormat="false" ht="11.6" hidden="false" customHeight="true" outlineLevel="0" collapsed="false">
      <c r="A82" s="19"/>
      <c r="B82" s="19"/>
      <c r="C82" s="39" t="s">
        <v>231</v>
      </c>
      <c r="D82" s="107" t="n">
        <f aca="false">D81</f>
        <v>188.289542189099</v>
      </c>
      <c r="E82" s="39" t="s">
        <v>228</v>
      </c>
      <c r="F82" s="83"/>
      <c r="G82" s="23" t="s">
        <v>232</v>
      </c>
      <c r="H82" s="23" t="s">
        <v>230</v>
      </c>
    </row>
    <row r="83" customFormat="false" ht="11.6" hidden="false" customHeight="true" outlineLevel="0" collapsed="false">
      <c r="A83" s="106"/>
      <c r="B83" s="23"/>
      <c r="C83" s="39" t="s">
        <v>233</v>
      </c>
      <c r="D83" s="107" t="n">
        <f aca="false">D81*D76+D82*30</f>
        <v>32009.2221721468</v>
      </c>
      <c r="E83" s="39" t="s">
        <v>138</v>
      </c>
      <c r="F83" s="130"/>
      <c r="G83" s="23"/>
      <c r="H83" s="23"/>
    </row>
    <row r="84" customFormat="false" ht="11.6" hidden="false" customHeight="true" outlineLevel="0" collapsed="false">
      <c r="A84" s="19"/>
      <c r="B84" s="23"/>
      <c r="C84" s="20" t="s">
        <v>234</v>
      </c>
      <c r="D84" s="107" t="n">
        <f aca="false">D59/(1-D16/100)/(1-D12/100)</f>
        <v>197704.019298554</v>
      </c>
      <c r="E84" s="3" t="s">
        <v>186</v>
      </c>
      <c r="F84" s="131"/>
      <c r="G84" s="23"/>
      <c r="H84" s="23"/>
    </row>
    <row r="85" s="9" customFormat="true" ht="11.6" hidden="false" customHeight="true" outlineLevel="0" collapsed="false">
      <c r="A85" s="19"/>
      <c r="B85" s="23" t="s">
        <v>235</v>
      </c>
      <c r="C85" s="39" t="s">
        <v>236</v>
      </c>
      <c r="D85" s="107" t="n">
        <f aca="false">D36/D41*D78*(D39-D37)/1000*365*24</f>
        <v>20313068.9494201</v>
      </c>
      <c r="E85" s="39" t="s">
        <v>38</v>
      </c>
      <c r="F85" s="130"/>
      <c r="G85" s="23"/>
      <c r="H85" s="23"/>
      <c r="AJO85" s="6"/>
      <c r="AJP85" s="6"/>
      <c r="AJQ85" s="6"/>
      <c r="AJR85" s="6"/>
      <c r="AJS85" s="6"/>
      <c r="AJT85" s="6"/>
      <c r="AJU85" s="6"/>
      <c r="AJV85" s="7"/>
      <c r="AJW85" s="7"/>
      <c r="AJX85" s="7"/>
      <c r="AJY85" s="7"/>
      <c r="AJZ85" s="7"/>
      <c r="AKA85" s="7"/>
      <c r="AKB85" s="7"/>
      <c r="AKC85" s="7"/>
      <c r="AKD85" s="7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customFormat="false" ht="11.6" hidden="false" customHeight="true" outlineLevel="0" collapsed="false">
      <c r="A86" s="106"/>
      <c r="B86" s="23"/>
      <c r="C86" s="39" t="s">
        <v>237</v>
      </c>
      <c r="D86" s="107" t="n">
        <f aca="false">D35/20*(D78*(D40-D38)+D76*D77*PI()*(D72-D38))/1000*365*24</f>
        <v>18594966.0983863</v>
      </c>
      <c r="E86" s="39" t="s">
        <v>38</v>
      </c>
      <c r="F86" s="130"/>
      <c r="G86" s="23" t="s">
        <v>238</v>
      </c>
      <c r="H86" s="23" t="s">
        <v>239</v>
      </c>
    </row>
    <row r="87" customFormat="false" ht="11.6" hidden="false" customHeight="true" outlineLevel="0" collapsed="false">
      <c r="A87" s="106"/>
      <c r="B87" s="23"/>
      <c r="C87" s="39" t="s">
        <v>240</v>
      </c>
      <c r="D87" s="107" t="n">
        <f aca="false">D85+D86</f>
        <v>38908035.0478064</v>
      </c>
      <c r="E87" s="39" t="s">
        <v>38</v>
      </c>
      <c r="F87" s="130"/>
      <c r="G87" s="23"/>
      <c r="H87" s="23"/>
    </row>
    <row r="88" customFormat="false" ht="11.6" hidden="false" customHeight="true" outlineLevel="0" collapsed="false">
      <c r="A88" s="132"/>
      <c r="B88" s="133" t="s">
        <v>241</v>
      </c>
      <c r="C88" s="134" t="s">
        <v>242</v>
      </c>
      <c r="D88" s="135" t="n">
        <f aca="false">D87/D73*100</f>
        <v>7.15964485879981</v>
      </c>
      <c r="E88" s="134" t="s">
        <v>24</v>
      </c>
      <c r="F88" s="133" t="s">
        <v>241</v>
      </c>
      <c r="G88" s="23" t="s">
        <v>243</v>
      </c>
      <c r="H88" s="136" t="s">
        <v>244</v>
      </c>
      <c r="AJV88" s="6"/>
      <c r="AJW88" s="6"/>
      <c r="AJX88" s="6"/>
      <c r="AJY88" s="6"/>
      <c r="AJZ88" s="6"/>
      <c r="AKA88" s="6"/>
      <c r="AKB88" s="6"/>
      <c r="AKC88" s="6"/>
    </row>
    <row r="89" customFormat="false" ht="11.6" hidden="false" customHeight="true" outlineLevel="0" collapsed="false">
      <c r="A89" s="52"/>
      <c r="B89" s="23" t="s">
        <v>155</v>
      </c>
      <c r="C89" s="39" t="s">
        <v>245</v>
      </c>
      <c r="D89" s="107" t="n">
        <f aca="false">D3/D4</f>
        <v>1428.71428571429</v>
      </c>
      <c r="E89" s="39" t="s">
        <v>246</v>
      </c>
      <c r="F89" s="130"/>
      <c r="G89" s="23"/>
      <c r="H89" s="23"/>
    </row>
    <row r="90" customFormat="false" ht="11.6" hidden="false" customHeight="true" outlineLevel="0" collapsed="false">
      <c r="A90" s="52"/>
      <c r="B90" s="23"/>
      <c r="C90" s="102" t="s">
        <v>247</v>
      </c>
      <c r="D90" s="137" t="n">
        <f aca="false">18000/D89</f>
        <v>12.5987401259874</v>
      </c>
      <c r="E90" s="102" t="s">
        <v>248</v>
      </c>
      <c r="F90" s="138"/>
      <c r="G90" s="22" t="s">
        <v>249</v>
      </c>
      <c r="H90" s="44" t="s">
        <v>250</v>
      </c>
    </row>
    <row r="91" customFormat="false" ht="11.6" hidden="false" customHeight="true" outlineLevel="0" collapsed="false">
      <c r="A91" s="52"/>
      <c r="B91" s="23"/>
      <c r="C91" s="102" t="s">
        <v>251</v>
      </c>
      <c r="D91" s="114" t="n">
        <f aca="false">D90*D3*1.1</f>
        <v>1108800</v>
      </c>
      <c r="E91" s="102" t="s">
        <v>138</v>
      </c>
      <c r="F91" s="130"/>
      <c r="G91" s="22" t="s">
        <v>249</v>
      </c>
      <c r="H91" s="23" t="s">
        <v>252</v>
      </c>
    </row>
    <row r="92" customFormat="false" ht="11.6" hidden="false" customHeight="true" outlineLevel="0" collapsed="false">
      <c r="A92" s="52"/>
      <c r="B92" s="23"/>
      <c r="C92" s="102" t="s">
        <v>253</v>
      </c>
      <c r="D92" s="21" t="n">
        <f aca="false">1000/D89*D3*1.1</f>
        <v>61600</v>
      </c>
      <c r="E92" s="102" t="s">
        <v>138</v>
      </c>
      <c r="F92" s="130"/>
      <c r="G92" s="22" t="s">
        <v>249</v>
      </c>
      <c r="H92" s="23" t="s">
        <v>252</v>
      </c>
    </row>
    <row r="93" s="9" customFormat="true" ht="11.6" hidden="false" customHeight="true" outlineLevel="0" collapsed="false">
      <c r="A93" s="101" t="s">
        <v>254</v>
      </c>
      <c r="B93" s="18" t="s">
        <v>255</v>
      </c>
      <c r="C93" s="139"/>
      <c r="D93" s="140"/>
      <c r="E93" s="139"/>
      <c r="F93" s="141"/>
      <c r="G93" s="18" t="s">
        <v>256</v>
      </c>
      <c r="H93" s="142"/>
      <c r="AIQ93" s="5"/>
      <c r="AIR93" s="5"/>
      <c r="AIS93" s="5"/>
      <c r="AIT93" s="5"/>
      <c r="AIU93" s="5"/>
      <c r="AIV93" s="5"/>
      <c r="AIW93" s="5"/>
      <c r="AIX93" s="5"/>
      <c r="AIY93" s="5"/>
      <c r="AIZ93" s="5"/>
      <c r="AJA93" s="5"/>
      <c r="AJB93" s="5"/>
      <c r="AJC93" s="5"/>
      <c r="AJD93" s="5"/>
      <c r="AJE93" s="5"/>
      <c r="AJF93" s="5"/>
      <c r="AJG93" s="5"/>
      <c r="AJH93" s="5"/>
      <c r="AJI93" s="5"/>
      <c r="AJJ93" s="5"/>
      <c r="AJK93" s="5"/>
      <c r="AJL93" s="5"/>
      <c r="AJM93" s="5"/>
      <c r="AJN93" s="5"/>
      <c r="AJO93" s="6"/>
      <c r="AJP93" s="6"/>
      <c r="AJQ93" s="6"/>
      <c r="AJR93" s="6"/>
      <c r="AJS93" s="6"/>
      <c r="AJT93" s="6"/>
      <c r="AJU93" s="6"/>
      <c r="AJV93" s="7"/>
      <c r="AJW93" s="7"/>
      <c r="AJX93" s="7"/>
      <c r="AJY93" s="7"/>
      <c r="AJZ93" s="7"/>
      <c r="AKA93" s="7"/>
      <c r="AKB93" s="7"/>
      <c r="AKC93" s="7"/>
      <c r="AKD93" s="7"/>
      <c r="AKE93" s="0"/>
      <c r="AKF93" s="0"/>
      <c r="AKG93" s="0"/>
      <c r="AKH93" s="0"/>
      <c r="AKI93" s="0"/>
      <c r="AKJ93" s="0"/>
      <c r="AKK93" s="0"/>
      <c r="AKL93" s="0"/>
      <c r="AKM93" s="0"/>
      <c r="AKN93" s="0"/>
      <c r="AKO93" s="0"/>
      <c r="AKP93" s="0"/>
      <c r="AKQ93" s="0"/>
      <c r="AKR93" s="0"/>
      <c r="AKS93" s="0"/>
      <c r="AKT93" s="0"/>
      <c r="AKU93" s="0"/>
      <c r="AKV93" s="0"/>
      <c r="AKW93" s="0"/>
      <c r="AKX93" s="0"/>
      <c r="AKY93" s="0"/>
      <c r="AKZ93" s="0"/>
      <c r="ALA93" s="0"/>
      <c r="ALB93" s="0"/>
      <c r="ALC93" s="0"/>
      <c r="ALD93" s="0"/>
      <c r="ALE93" s="0"/>
      <c r="ALF93" s="0"/>
      <c r="ALG93" s="0"/>
      <c r="ALH93" s="0"/>
      <c r="ALI93" s="0"/>
      <c r="ALJ93" s="0"/>
      <c r="ALK93" s="0"/>
      <c r="ALL93" s="0"/>
      <c r="ALM93" s="0"/>
      <c r="ALN93" s="0"/>
      <c r="ALO93" s="0"/>
      <c r="ALP93" s="0"/>
      <c r="ALQ93" s="0"/>
      <c r="ALR93" s="0"/>
      <c r="ALS93" s="0"/>
      <c r="ALT93" s="0"/>
      <c r="ALU93" s="0"/>
      <c r="ALV93" s="0"/>
      <c r="ALW93" s="0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customFormat="false" ht="11.6" hidden="false" customHeight="true" outlineLevel="0" collapsed="false">
      <c r="A94" s="143" t="s">
        <v>257</v>
      </c>
      <c r="B94" s="23" t="s">
        <v>62</v>
      </c>
      <c r="C94" s="39" t="s">
        <v>62</v>
      </c>
      <c r="D94" s="107" t="n">
        <f aca="false">(D24*D27+D25*D28+D26*D29)/100*(1-D32/100)*D64</f>
        <v>375394901.012743</v>
      </c>
      <c r="E94" s="144" t="s">
        <v>154</v>
      </c>
      <c r="F94" s="130" t="n">
        <f aca="false">(F24*D27+F25*D28+F26*D29)/100</f>
        <v>25</v>
      </c>
      <c r="G94" s="113" t="n">
        <f aca="false">D94/F94</f>
        <v>15015796.0405097</v>
      </c>
      <c r="H94" s="23"/>
    </row>
    <row r="95" customFormat="false" ht="11.6" hidden="false" customHeight="true" outlineLevel="0" collapsed="false">
      <c r="A95" s="52"/>
      <c r="B95" s="23"/>
      <c r="C95" s="39" t="s">
        <v>258</v>
      </c>
      <c r="D95" s="107" t="n">
        <f aca="false">D31*(1-D32/100)*D64</f>
        <v>373798608.024737</v>
      </c>
      <c r="E95" s="144" t="s">
        <v>154</v>
      </c>
      <c r="F95" s="130" t="n">
        <f aca="false">F31</f>
        <v>50</v>
      </c>
      <c r="G95" s="113" t="n">
        <f aca="false">D95/F95</f>
        <v>7475972.16049475</v>
      </c>
      <c r="H95" s="23"/>
    </row>
    <row r="96" customFormat="false" ht="11.6" hidden="false" customHeight="true" outlineLevel="0" collapsed="false">
      <c r="A96" s="106"/>
      <c r="B96" s="23"/>
      <c r="C96" s="39" t="s">
        <v>259</v>
      </c>
      <c r="D96" s="107" t="n">
        <f aca="false">D66*D33</f>
        <v>15537310.951142</v>
      </c>
      <c r="E96" s="144" t="s">
        <v>154</v>
      </c>
      <c r="F96" s="145" t="n">
        <v>100</v>
      </c>
      <c r="G96" s="113" t="n">
        <f aca="false">D96/F96</f>
        <v>155373.10951142</v>
      </c>
      <c r="H96" s="23" t="s">
        <v>260</v>
      </c>
    </row>
    <row r="97" customFormat="false" ht="11.6" hidden="false" customHeight="true" outlineLevel="0" collapsed="false">
      <c r="A97" s="108"/>
      <c r="B97" s="36"/>
      <c r="C97" s="146" t="s">
        <v>261</v>
      </c>
      <c r="D97" s="147" t="n">
        <f aca="false">SUM(D94:D96)</f>
        <v>764730819.988623</v>
      </c>
      <c r="E97" s="148" t="s">
        <v>154</v>
      </c>
      <c r="F97" s="149" t="n">
        <f aca="false">IF(G97=0,(F94+F95)/2,D97/G97)</f>
        <v>33.7672119188628</v>
      </c>
      <c r="G97" s="150" t="n">
        <f aca="false">SUM(G94:G96)</f>
        <v>22647141.3105159</v>
      </c>
      <c r="H97" s="151"/>
      <c r="AJV97" s="6"/>
      <c r="AJW97" s="6"/>
      <c r="AJX97" s="6"/>
      <c r="AJY97" s="6"/>
      <c r="AJZ97" s="6"/>
      <c r="AKA97" s="6"/>
      <c r="AKB97" s="6"/>
      <c r="AKC97" s="6"/>
    </row>
    <row r="98" s="9" customFormat="true" ht="11.6" hidden="false" customHeight="true" outlineLevel="0" collapsed="false">
      <c r="A98" s="106"/>
      <c r="B98" s="19" t="s">
        <v>122</v>
      </c>
      <c r="C98" s="39" t="s">
        <v>262</v>
      </c>
      <c r="D98" s="107" t="n">
        <f aca="false">D78*D33</f>
        <v>1588248.96395666</v>
      </c>
      <c r="E98" s="144" t="s">
        <v>154</v>
      </c>
      <c r="F98" s="145" t="n">
        <v>100</v>
      </c>
      <c r="G98" s="113" t="n">
        <f aca="false">D98/F98</f>
        <v>15882.4896395666</v>
      </c>
      <c r="H98" s="23" t="s">
        <v>260</v>
      </c>
      <c r="AIQ98" s="5"/>
      <c r="AIR98" s="5"/>
      <c r="AIS98" s="5"/>
      <c r="AIT98" s="5"/>
      <c r="AIU98" s="5"/>
      <c r="AIV98" s="5"/>
      <c r="AIW98" s="5"/>
      <c r="AIX98" s="5"/>
      <c r="AIY98" s="5"/>
      <c r="AIZ98" s="5"/>
      <c r="AJA98" s="5"/>
      <c r="AJB98" s="5"/>
      <c r="AJC98" s="5"/>
      <c r="AJD98" s="5"/>
      <c r="AJE98" s="5"/>
      <c r="AJF98" s="5"/>
      <c r="AJG98" s="5"/>
      <c r="AJH98" s="5"/>
      <c r="AJI98" s="5"/>
      <c r="AJJ98" s="5"/>
      <c r="AJK98" s="5"/>
      <c r="AJL98" s="5"/>
      <c r="AJM98" s="5"/>
      <c r="AJN98" s="5"/>
      <c r="AJO98" s="6"/>
      <c r="AJP98" s="6"/>
      <c r="AJQ98" s="6"/>
      <c r="AJR98" s="6"/>
      <c r="AJS98" s="6"/>
      <c r="AJT98" s="6"/>
      <c r="AJU98" s="6"/>
      <c r="AJV98" s="7"/>
      <c r="AJW98" s="7"/>
      <c r="AJX98" s="7"/>
      <c r="AJY98" s="7"/>
      <c r="AJZ98" s="7"/>
      <c r="AKA98" s="7"/>
      <c r="AKB98" s="7"/>
      <c r="AKC98" s="7"/>
      <c r="AKD98" s="7"/>
      <c r="AKE98" s="0"/>
      <c r="AKF98" s="0"/>
      <c r="AKG98" s="0"/>
      <c r="AKH98" s="0"/>
      <c r="AKI98" s="0"/>
      <c r="AKJ98" s="0"/>
      <c r="AKK98" s="0"/>
      <c r="AKL98" s="0"/>
      <c r="AKM98" s="0"/>
      <c r="AKN98" s="0"/>
      <c r="AKO98" s="0"/>
      <c r="AKP98" s="0"/>
      <c r="AKQ98" s="0"/>
      <c r="AKR98" s="0"/>
      <c r="AKS98" s="0"/>
      <c r="AKT98" s="0"/>
      <c r="AKU98" s="0"/>
      <c r="AKV98" s="0"/>
      <c r="AKW98" s="0"/>
      <c r="AKX98" s="0"/>
      <c r="AKY98" s="0"/>
      <c r="AKZ98" s="0"/>
      <c r="ALA98" s="0"/>
      <c r="ALB98" s="0"/>
      <c r="ALC98" s="0"/>
      <c r="ALD98" s="0"/>
      <c r="ALE98" s="0"/>
      <c r="ALF98" s="0"/>
      <c r="ALG98" s="0"/>
      <c r="ALH98" s="0"/>
      <c r="ALI98" s="0"/>
      <c r="ALJ98" s="0"/>
      <c r="ALK98" s="0"/>
      <c r="ALL98" s="0"/>
      <c r="ALM98" s="0"/>
      <c r="ALN98" s="0"/>
      <c r="ALO98" s="0"/>
      <c r="ALP98" s="0"/>
      <c r="ALQ98" s="0"/>
      <c r="ALR98" s="0"/>
      <c r="ALS98" s="0"/>
      <c r="ALT98" s="0"/>
      <c r="ALU98" s="0"/>
      <c r="ALV98" s="0"/>
      <c r="ALW98" s="0"/>
      <c r="ALX98" s="0"/>
      <c r="ALY98" s="0"/>
      <c r="ALZ98" s="0"/>
      <c r="AMA98" s="0"/>
      <c r="AMB98" s="0"/>
      <c r="AMC98" s="0"/>
      <c r="AMD98" s="0"/>
      <c r="AME98" s="0"/>
      <c r="AMF98" s="0"/>
      <c r="AMG98" s="0"/>
      <c r="AMH98" s="0"/>
      <c r="AMI98" s="0"/>
      <c r="AMJ98" s="0"/>
    </row>
    <row r="99" s="9" customFormat="true" ht="11.6" hidden="false" customHeight="true" outlineLevel="0" collapsed="false">
      <c r="A99" s="106"/>
      <c r="B99" s="19"/>
      <c r="C99" s="3" t="s">
        <v>263</v>
      </c>
      <c r="D99" s="107" t="n">
        <f aca="false">D78*(D41+1)*D43+D78*D44</f>
        <v>7305945.23420064</v>
      </c>
      <c r="E99" s="144" t="s">
        <v>154</v>
      </c>
      <c r="F99" s="130" t="n">
        <f aca="false">F44</f>
        <v>50</v>
      </c>
      <c r="G99" s="113" t="n">
        <f aca="false">D99/F99</f>
        <v>146118.904684013</v>
      </c>
      <c r="H99" s="19" t="s">
        <v>264</v>
      </c>
      <c r="AIQ99" s="5"/>
      <c r="AIR99" s="5"/>
      <c r="AIS99" s="5"/>
      <c r="AIT99" s="5"/>
      <c r="AIU99" s="5"/>
      <c r="AIV99" s="5"/>
      <c r="AIW99" s="5"/>
      <c r="AIX99" s="5"/>
      <c r="AIY99" s="5"/>
      <c r="AIZ99" s="5"/>
      <c r="AJA99" s="5"/>
      <c r="AJB99" s="5"/>
      <c r="AJC99" s="5"/>
      <c r="AJD99" s="5"/>
      <c r="AJE99" s="5"/>
      <c r="AJF99" s="5"/>
      <c r="AJG99" s="5"/>
      <c r="AJH99" s="5"/>
      <c r="AJI99" s="5"/>
      <c r="AJJ99" s="5"/>
      <c r="AJK99" s="5"/>
      <c r="AJL99" s="5"/>
      <c r="AJM99" s="5"/>
      <c r="AJN99" s="5"/>
      <c r="AJO99" s="6"/>
      <c r="AJP99" s="6"/>
      <c r="AJQ99" s="6"/>
      <c r="AJR99" s="6"/>
      <c r="AJS99" s="6"/>
      <c r="AJT99" s="6"/>
      <c r="AJU99" s="6"/>
      <c r="AJV99" s="7"/>
      <c r="AJW99" s="7"/>
      <c r="AJX99" s="7"/>
      <c r="AJY99" s="7"/>
      <c r="AJZ99" s="7"/>
      <c r="AKA99" s="7"/>
      <c r="AKB99" s="7"/>
      <c r="AKC99" s="7"/>
      <c r="AKD99" s="7"/>
      <c r="AKE99" s="0"/>
      <c r="AKF99" s="0"/>
      <c r="AKG99" s="0"/>
      <c r="AKH99" s="0"/>
      <c r="AKI99" s="0"/>
      <c r="AKJ99" s="0"/>
      <c r="AKK99" s="0"/>
      <c r="AKL99" s="0"/>
      <c r="AKM99" s="0"/>
      <c r="AKN99" s="0"/>
      <c r="AKO99" s="0"/>
      <c r="AKP99" s="0"/>
      <c r="AKQ99" s="0"/>
      <c r="AKR99" s="0"/>
      <c r="AKS99" s="0"/>
      <c r="AKT99" s="0"/>
      <c r="AKU99" s="0"/>
      <c r="AKV99" s="0"/>
      <c r="AKW99" s="0"/>
      <c r="AKX99" s="0"/>
      <c r="AKY99" s="0"/>
      <c r="AKZ99" s="0"/>
      <c r="ALA99" s="0"/>
      <c r="ALB99" s="0"/>
      <c r="ALC99" s="0"/>
      <c r="ALD99" s="0"/>
      <c r="ALE99" s="0"/>
      <c r="ALF99" s="0"/>
      <c r="ALG99" s="0"/>
      <c r="ALH99" s="0"/>
      <c r="ALI99" s="0"/>
      <c r="ALJ99" s="0"/>
      <c r="ALK99" s="0"/>
      <c r="ALL99" s="0"/>
      <c r="ALM99" s="0"/>
      <c r="ALN99" s="0"/>
      <c r="ALO99" s="0"/>
      <c r="ALP99" s="0"/>
      <c r="ALQ99" s="0"/>
      <c r="ALR99" s="0"/>
      <c r="ALS99" s="0"/>
      <c r="ALT99" s="0"/>
      <c r="ALU99" s="0"/>
      <c r="ALV99" s="0"/>
      <c r="ALW99" s="0"/>
      <c r="ALX99" s="0"/>
      <c r="ALY99" s="0"/>
      <c r="ALZ99" s="0"/>
      <c r="AMA99" s="0"/>
      <c r="AMB99" s="0"/>
      <c r="AMC99" s="0"/>
      <c r="AMD99" s="0"/>
      <c r="AME99" s="0"/>
      <c r="AMF99" s="0"/>
      <c r="AMG99" s="0"/>
      <c r="AMH99" s="0"/>
      <c r="AMI99" s="0"/>
      <c r="AMJ99" s="0"/>
    </row>
    <row r="100" customFormat="false" ht="11.6" hidden="false" customHeight="true" outlineLevel="0" collapsed="false">
      <c r="A100" s="52"/>
      <c r="B100" s="23"/>
      <c r="C100" s="3" t="s">
        <v>265</v>
      </c>
      <c r="D100" s="107" t="n">
        <f aca="false">PI()*D77*D76*D45</f>
        <v>15822760.1563914</v>
      </c>
      <c r="E100" s="144" t="s">
        <v>154</v>
      </c>
      <c r="F100" s="130" t="n">
        <f aca="false">F45</f>
        <v>50</v>
      </c>
      <c r="G100" s="113" t="n">
        <f aca="false">D100/F100</f>
        <v>316455.203127827</v>
      </c>
      <c r="H100" s="152"/>
    </row>
    <row r="101" customFormat="false" ht="11.6" hidden="false" customHeight="true" outlineLevel="0" collapsed="false">
      <c r="A101" s="106"/>
      <c r="B101" s="19"/>
      <c r="C101" s="3" t="s">
        <v>266</v>
      </c>
      <c r="D101" s="107" t="n">
        <f aca="false">D83*D46</f>
        <v>3200922.21721468</v>
      </c>
      <c r="E101" s="144" t="s">
        <v>154</v>
      </c>
      <c r="F101" s="130" t="n">
        <f aca="false">F46</f>
        <v>50</v>
      </c>
      <c r="G101" s="113" t="n">
        <f aca="false">D101/F101</f>
        <v>64018.4443442936</v>
      </c>
      <c r="H101" s="19"/>
    </row>
    <row r="102" customFormat="false" ht="11.6" hidden="false" customHeight="true" outlineLevel="0" collapsed="false">
      <c r="A102" s="52"/>
      <c r="B102" s="19"/>
      <c r="C102" s="3" t="s">
        <v>267</v>
      </c>
      <c r="D102" s="107" t="n">
        <f aca="false">D51*D84</f>
        <v>98852.0096492769</v>
      </c>
      <c r="E102" s="144" t="s">
        <v>154</v>
      </c>
      <c r="F102" s="130" t="n">
        <f aca="false">F51</f>
        <v>20</v>
      </c>
      <c r="G102" s="113" t="n">
        <f aca="false">D102/F102</f>
        <v>4942.60048246384</v>
      </c>
      <c r="H102" s="23"/>
    </row>
    <row r="103" customFormat="false" ht="11.6" hidden="false" customHeight="true" outlineLevel="0" collapsed="false">
      <c r="A103" s="52"/>
      <c r="B103" s="19"/>
      <c r="C103" s="3" t="s">
        <v>268</v>
      </c>
      <c r="D103" s="107" t="n">
        <f aca="false">D47</f>
        <v>1000000</v>
      </c>
      <c r="E103" s="144" t="s">
        <v>154</v>
      </c>
      <c r="F103" s="130" t="n">
        <f aca="false">F47</f>
        <v>50</v>
      </c>
      <c r="G103" s="113" t="n">
        <f aca="false">D103/F103</f>
        <v>20000</v>
      </c>
      <c r="H103" s="23"/>
    </row>
    <row r="104" customFormat="false" ht="11.6" hidden="false" customHeight="true" outlineLevel="0" collapsed="false">
      <c r="A104" s="132"/>
      <c r="B104" s="31"/>
      <c r="C104" s="146" t="s">
        <v>269</v>
      </c>
      <c r="D104" s="147" t="n">
        <f aca="false">SUM(D98:D103)</f>
        <v>29016728.5814126</v>
      </c>
      <c r="E104" s="148" t="s">
        <v>154</v>
      </c>
      <c r="F104" s="149" t="n">
        <f aca="false">D104/G104</f>
        <v>51.1382206321808</v>
      </c>
      <c r="G104" s="153" t="n">
        <f aca="false">SUM(G98:G103)</f>
        <v>567417.642278164</v>
      </c>
      <c r="H104" s="36"/>
      <c r="AJV104" s="6"/>
      <c r="AJW104" s="6"/>
      <c r="AJX104" s="6"/>
      <c r="AJY104" s="6"/>
      <c r="AJZ104" s="6"/>
      <c r="AKA104" s="6"/>
      <c r="AKB104" s="6"/>
      <c r="AKC104" s="6"/>
    </row>
    <row r="105" customFormat="false" ht="11.6" hidden="false" customHeight="true" outlineLevel="0" collapsed="false">
      <c r="A105" s="19"/>
      <c r="B105" s="19" t="s">
        <v>155</v>
      </c>
      <c r="C105" s="20" t="s">
        <v>270</v>
      </c>
      <c r="D105" s="110" t="n">
        <f aca="false">D48*D92</f>
        <v>61600000</v>
      </c>
      <c r="E105" s="144" t="s">
        <v>154</v>
      </c>
      <c r="F105" s="154" t="n">
        <f aca="false">F48</f>
        <v>25</v>
      </c>
      <c r="G105" s="113" t="n">
        <f aca="false">D105/F105</f>
        <v>2464000</v>
      </c>
      <c r="H105" s="19"/>
    </row>
    <row r="106" customFormat="false" ht="11.6" hidden="false" customHeight="true" outlineLevel="0" collapsed="false">
      <c r="A106" s="19"/>
      <c r="B106" s="19"/>
      <c r="C106" s="20" t="s">
        <v>271</v>
      </c>
      <c r="D106" s="110" t="n">
        <f aca="false">D49*(D91-D92)</f>
        <v>318348800</v>
      </c>
      <c r="E106" s="144" t="s">
        <v>154</v>
      </c>
      <c r="F106" s="154" t="n">
        <f aca="false">F49</f>
        <v>25</v>
      </c>
      <c r="G106" s="113" t="n">
        <f aca="false">D106/F106</f>
        <v>12733952</v>
      </c>
      <c r="H106" s="19"/>
    </row>
    <row r="107" customFormat="false" ht="11.6" hidden="false" customHeight="true" outlineLevel="0" collapsed="false">
      <c r="A107" s="19"/>
      <c r="B107" s="19"/>
      <c r="C107" s="20" t="s">
        <v>272</v>
      </c>
      <c r="D107" s="110" t="n">
        <f aca="false">D50*D3</f>
        <v>24322432</v>
      </c>
      <c r="E107" s="144" t="s">
        <v>154</v>
      </c>
      <c r="F107" s="154" t="n">
        <f aca="false">F50</f>
        <v>25</v>
      </c>
      <c r="G107" s="113" t="n">
        <f aca="false">D107/F107</f>
        <v>972897.28</v>
      </c>
      <c r="H107" s="19"/>
    </row>
    <row r="108" customFormat="false" ht="11.6" hidden="false" customHeight="true" outlineLevel="0" collapsed="false">
      <c r="A108" s="31"/>
      <c r="B108" s="31"/>
      <c r="C108" s="146" t="s">
        <v>273</v>
      </c>
      <c r="D108" s="147" t="n">
        <f aca="false">SUM(D105:D107)</f>
        <v>404271232</v>
      </c>
      <c r="E108" s="148" t="s">
        <v>154</v>
      </c>
      <c r="F108" s="149" t="n">
        <f aca="false">D108/G108</f>
        <v>25</v>
      </c>
      <c r="G108" s="153" t="n">
        <f aca="false">SUM(G105:G107)</f>
        <v>16170849.28</v>
      </c>
      <c r="H108" s="31"/>
      <c r="AJV108" s="6"/>
      <c r="AJW108" s="6"/>
      <c r="AJX108" s="6"/>
      <c r="AJY108" s="6"/>
      <c r="AJZ108" s="6"/>
      <c r="AKA108" s="6"/>
      <c r="AKB108" s="6"/>
      <c r="AKC108" s="6"/>
    </row>
    <row r="109" customFormat="false" ht="11.6" hidden="false" customHeight="true" outlineLevel="0" collapsed="false">
      <c r="A109" s="36"/>
      <c r="B109" s="36" t="s">
        <v>274</v>
      </c>
      <c r="C109" s="155" t="s">
        <v>275</v>
      </c>
      <c r="D109" s="156" t="n">
        <f aca="false">(D97+D104+D108)/(1-D56/100)</f>
        <v>1497523475.71254</v>
      </c>
      <c r="E109" s="157" t="s">
        <v>154</v>
      </c>
      <c r="F109" s="158"/>
      <c r="G109" s="159"/>
      <c r="H109" s="159"/>
      <c r="AJV109" s="6"/>
      <c r="AJW109" s="6"/>
      <c r="AJX109" s="6"/>
      <c r="AJY109" s="6"/>
      <c r="AJZ109" s="6"/>
      <c r="AKA109" s="6"/>
      <c r="AKB109" s="6"/>
      <c r="AKC109" s="6"/>
    </row>
    <row r="110" customFormat="false" ht="11.6" hidden="false" customHeight="true" outlineLevel="0" collapsed="false">
      <c r="A110" s="23"/>
      <c r="B110" s="18" t="s">
        <v>276</v>
      </c>
      <c r="C110" s="39" t="s">
        <v>277</v>
      </c>
      <c r="D110" s="107" t="n">
        <f aca="false">(D74+D57)*2/100*D52</f>
        <v>2666418.31658228</v>
      </c>
      <c r="E110" s="39" t="s">
        <v>278</v>
      </c>
      <c r="F110" s="130"/>
      <c r="G110" s="22" t="s">
        <v>279</v>
      </c>
      <c r="H110" s="23" t="s">
        <v>280</v>
      </c>
    </row>
    <row r="111" customFormat="false" ht="11.6" hidden="false" customHeight="true" outlineLevel="0" collapsed="false">
      <c r="A111" s="23"/>
      <c r="B111" s="52"/>
      <c r="C111" s="39" t="s">
        <v>281</v>
      </c>
      <c r="D111" s="107" t="n">
        <f aca="false">-D64*(D29/100)*D23*D53</f>
        <v>-4460230.40766381</v>
      </c>
      <c r="E111" s="39" t="s">
        <v>278</v>
      </c>
      <c r="F111" s="130"/>
      <c r="G111" s="23"/>
      <c r="H111" s="23"/>
    </row>
    <row r="112" customFormat="false" ht="11.6" hidden="false" customHeight="true" outlineLevel="0" collapsed="false">
      <c r="A112" s="23"/>
      <c r="B112" s="52"/>
      <c r="C112" s="39" t="s">
        <v>282</v>
      </c>
      <c r="D112" s="107" t="n">
        <f aca="false">IF(D61&gt;D57,D57*(D11/100*(1-D12/100)+(1-D11/100)*(1-D12/100)*(1-D16/100)*(1-D15/100)*(1-D16/100)*(1-D12/100))*D54,D61*D54)</f>
        <v>2272224.70656</v>
      </c>
      <c r="E112" s="39" t="s">
        <v>278</v>
      </c>
      <c r="F112" s="49"/>
      <c r="G112" s="23"/>
      <c r="H112" s="23"/>
    </row>
    <row r="113" customFormat="false" ht="11.6" hidden="false" customHeight="true" outlineLevel="0" collapsed="false">
      <c r="A113" s="36"/>
      <c r="B113" s="132"/>
      <c r="C113" s="160" t="s">
        <v>283</v>
      </c>
      <c r="D113" s="161" t="n">
        <f aca="false">D55*D3</f>
        <v>6400640</v>
      </c>
      <c r="E113" s="32" t="s">
        <v>278</v>
      </c>
      <c r="F113" s="162"/>
      <c r="G113" s="36"/>
      <c r="H113" s="36"/>
      <c r="AJV113" s="6"/>
      <c r="AJW113" s="6"/>
      <c r="AJX113" s="6"/>
      <c r="AJY113" s="6"/>
      <c r="AJZ113" s="6"/>
      <c r="AKA113" s="6"/>
      <c r="AKB113" s="6"/>
      <c r="AKC113" s="6"/>
    </row>
    <row r="114" customFormat="false" ht="11.6" hidden="false" customHeight="true" outlineLevel="0" collapsed="false">
      <c r="A114" s="36"/>
      <c r="B114" s="36" t="s">
        <v>274</v>
      </c>
      <c r="C114" s="155" t="s">
        <v>284</v>
      </c>
      <c r="D114" s="156" t="n">
        <f aca="false">SUM(D110:D113)</f>
        <v>6879052.61547847</v>
      </c>
      <c r="E114" s="155" t="s">
        <v>278</v>
      </c>
      <c r="F114" s="158"/>
      <c r="G114" s="159"/>
      <c r="H114" s="159"/>
      <c r="AJV114" s="6"/>
      <c r="AJW114" s="6"/>
      <c r="AJX114" s="6"/>
      <c r="AJY114" s="6"/>
      <c r="AJZ114" s="6"/>
      <c r="AKA114" s="6"/>
      <c r="AKB114" s="6"/>
      <c r="AKC114" s="6"/>
    </row>
    <row r="115" s="9" customFormat="true" ht="11.6" hidden="false" customHeight="true" outlineLevel="0" collapsed="false">
      <c r="A115" s="18" t="s">
        <v>285</v>
      </c>
      <c r="B115" s="101" t="s">
        <v>255</v>
      </c>
      <c r="C115" s="163"/>
      <c r="D115" s="164"/>
      <c r="E115" s="139"/>
      <c r="F115" s="141"/>
      <c r="G115" s="18" t="s">
        <v>286</v>
      </c>
      <c r="H115" s="18" t="s">
        <v>287</v>
      </c>
      <c r="AJO115" s="97"/>
      <c r="AJP115" s="6"/>
      <c r="AJQ115" s="6"/>
      <c r="AJR115" s="6"/>
      <c r="AJS115" s="6"/>
      <c r="AJT115" s="6"/>
      <c r="AJU115" s="6"/>
      <c r="AJV115" s="7"/>
      <c r="AJW115" s="7"/>
      <c r="AJX115" s="7"/>
      <c r="AJY115" s="7"/>
      <c r="AJZ115" s="7"/>
      <c r="AKA115" s="7"/>
      <c r="AKB115" s="7"/>
      <c r="AKC115" s="7"/>
      <c r="AKD115" s="7"/>
      <c r="AKE115" s="0"/>
      <c r="AKF115" s="0"/>
      <c r="AKG115" s="0"/>
      <c r="AKH115" s="0"/>
      <c r="AKI115" s="0"/>
      <c r="AKJ115" s="0"/>
      <c r="AKK115" s="0"/>
      <c r="AKL115" s="0"/>
      <c r="AKM115" s="0"/>
      <c r="AKN115" s="0"/>
      <c r="AKO115" s="0"/>
      <c r="AKP115" s="0"/>
      <c r="AKQ115" s="0"/>
      <c r="AKR115" s="0"/>
      <c r="AKS115" s="0"/>
      <c r="AKT115" s="0"/>
      <c r="AKU115" s="0"/>
      <c r="AKV115" s="0"/>
      <c r="AKW115" s="0"/>
      <c r="AKX115" s="0"/>
      <c r="AKY115" s="0"/>
      <c r="AKZ115" s="0"/>
      <c r="ALA115" s="0"/>
      <c r="ALB115" s="0"/>
      <c r="ALC115" s="0"/>
      <c r="ALD115" s="0"/>
      <c r="ALE115" s="0"/>
      <c r="ALF115" s="0"/>
      <c r="ALG115" s="0"/>
      <c r="ALH115" s="0"/>
      <c r="ALI115" s="0"/>
      <c r="ALJ115" s="0"/>
      <c r="ALK115" s="0"/>
      <c r="ALL115" s="0"/>
      <c r="ALM115" s="0"/>
      <c r="ALN115" s="0"/>
      <c r="ALO115" s="0"/>
      <c r="ALP115" s="0"/>
      <c r="ALQ115" s="0"/>
      <c r="ALR115" s="0"/>
      <c r="ALS115" s="0"/>
      <c r="ALT115" s="0"/>
      <c r="ALU115" s="0"/>
      <c r="ALV115" s="0"/>
      <c r="ALW115" s="0"/>
      <c r="ALX115" s="0"/>
      <c r="ALY115" s="0"/>
      <c r="ALZ115" s="0"/>
      <c r="AMA115" s="0"/>
      <c r="AMB115" s="0"/>
      <c r="AMC115" s="0"/>
      <c r="AMD115" s="0"/>
      <c r="AME115" s="0"/>
      <c r="AMF115" s="0"/>
      <c r="AMG115" s="0"/>
      <c r="AMH115" s="0"/>
      <c r="AMI115" s="0"/>
      <c r="AMJ115" s="0"/>
    </row>
    <row r="116" customFormat="false" ht="11.6" hidden="false" customHeight="true" outlineLevel="0" collapsed="false">
      <c r="A116" s="143" t="s">
        <v>257</v>
      </c>
      <c r="B116" s="106"/>
      <c r="C116" s="39" t="s">
        <v>62</v>
      </c>
      <c r="D116" s="107" t="n">
        <f aca="false">D97/F97/D3</f>
        <v>283.06096028542</v>
      </c>
      <c r="E116" s="39" t="s">
        <v>174</v>
      </c>
      <c r="F116" s="129"/>
      <c r="G116" s="165" t="n">
        <f aca="false">D116/D$119</f>
        <v>0.46001079743353</v>
      </c>
      <c r="H116" s="166" t="n">
        <f aca="false">D116/$D$125</f>
        <v>0.403614564420329</v>
      </c>
    </row>
    <row r="117" customFormat="false" ht="11.6" hidden="false" customHeight="true" outlineLevel="0" collapsed="false">
      <c r="A117" s="23"/>
      <c r="B117" s="106"/>
      <c r="C117" s="3" t="s">
        <v>204</v>
      </c>
      <c r="D117" s="107" t="n">
        <f aca="false">D104/F104/D3</f>
        <v>7.09201132734432</v>
      </c>
      <c r="E117" s="39" t="s">
        <v>174</v>
      </c>
      <c r="F117" s="167"/>
      <c r="G117" s="165" t="n">
        <f aca="false">D117/D$119</f>
        <v>0.0115254388411941</v>
      </c>
      <c r="H117" s="166" t="n">
        <f aca="false">D117/$D$125</f>
        <v>0.0101124473677466</v>
      </c>
    </row>
    <row r="118" customFormat="false" ht="11.6" hidden="false" customHeight="true" outlineLevel="0" collapsed="false">
      <c r="A118" s="52"/>
      <c r="B118" s="23"/>
      <c r="C118" s="3" t="s">
        <v>288</v>
      </c>
      <c r="D118" s="107" t="n">
        <f aca="false">D108/F108/D3</f>
        <v>202.115404459554</v>
      </c>
      <c r="E118" s="39" t="s">
        <v>174</v>
      </c>
      <c r="F118" s="168"/>
      <c r="G118" s="165" t="n">
        <f aca="false">D118/D$119</f>
        <v>0.328463763725276</v>
      </c>
      <c r="H118" s="166" t="n">
        <f aca="false">D118/$D$125</f>
        <v>0.288194885127659</v>
      </c>
    </row>
    <row r="119" customFormat="false" ht="11.6" hidden="false" customHeight="true" outlineLevel="0" collapsed="false">
      <c r="A119" s="36"/>
      <c r="B119" s="36" t="s">
        <v>274</v>
      </c>
      <c r="C119" s="155" t="s">
        <v>275</v>
      </c>
      <c r="D119" s="156" t="n">
        <f aca="false">SUM(D116:D118)/(1-D56/100)</f>
        <v>615.335470090398</v>
      </c>
      <c r="E119" s="155" t="s">
        <v>174</v>
      </c>
      <c r="F119" s="169"/>
      <c r="G119" s="170"/>
      <c r="H119" s="171" t="n">
        <f aca="false">D119/$D$125</f>
        <v>0.877402371144669</v>
      </c>
      <c r="AJV119" s="6"/>
      <c r="AJW119" s="6"/>
      <c r="AJX119" s="6"/>
      <c r="AJY119" s="6"/>
      <c r="AJZ119" s="6"/>
      <c r="AKA119" s="6"/>
      <c r="AKB119" s="6"/>
      <c r="AKC119" s="6"/>
    </row>
    <row r="120" s="9" customFormat="true" ht="11.6" hidden="false" customHeight="true" outlineLevel="0" collapsed="false">
      <c r="A120" s="52"/>
      <c r="B120" s="18" t="s">
        <v>276</v>
      </c>
      <c r="C120" s="39" t="s">
        <v>277</v>
      </c>
      <c r="D120" s="107" t="n">
        <f aca="false">D110/$D$3</f>
        <v>33.3268962676517</v>
      </c>
      <c r="E120" s="39" t="s">
        <v>174</v>
      </c>
      <c r="F120" s="130"/>
      <c r="G120" s="172"/>
      <c r="H120" s="166" t="n">
        <f aca="false">D120/$D$125</f>
        <v>0.0475205789840691</v>
      </c>
      <c r="AIS120" s="5"/>
      <c r="AIT120" s="5"/>
      <c r="AIU120" s="5"/>
      <c r="AIV120" s="5"/>
      <c r="AIW120" s="5"/>
      <c r="AIX120" s="5"/>
      <c r="AIY120" s="5"/>
      <c r="AIZ120" s="5"/>
      <c r="AJA120" s="5"/>
      <c r="AJB120" s="5"/>
      <c r="AJC120" s="5"/>
      <c r="AJD120" s="5"/>
      <c r="AJE120" s="5"/>
      <c r="AJF120" s="5"/>
      <c r="AJG120" s="5"/>
      <c r="AJH120" s="5"/>
      <c r="AJI120" s="5"/>
      <c r="AJJ120" s="5"/>
      <c r="AJK120" s="5"/>
      <c r="AJL120" s="5"/>
      <c r="AJM120" s="5"/>
      <c r="AJN120" s="5"/>
      <c r="AJO120" s="6"/>
      <c r="AJP120" s="6"/>
      <c r="AJQ120" s="6"/>
      <c r="AJR120" s="6"/>
      <c r="AJS120" s="6"/>
      <c r="AJT120" s="6"/>
      <c r="AJU120" s="6"/>
      <c r="AJV120" s="7"/>
      <c r="AJW120" s="7"/>
      <c r="AJX120" s="7"/>
      <c r="AJY120" s="7"/>
      <c r="AJZ120" s="7"/>
      <c r="AKA120" s="7"/>
      <c r="AKB120" s="7"/>
      <c r="AKC120" s="7"/>
      <c r="AKD120" s="7"/>
      <c r="AKE120" s="0"/>
      <c r="AKF120" s="0"/>
      <c r="AKG120" s="0"/>
      <c r="AKH120" s="0"/>
      <c r="AKI120" s="0"/>
      <c r="AKJ120" s="0"/>
      <c r="AKK120" s="0"/>
      <c r="AKL120" s="0"/>
      <c r="AKM120" s="0"/>
      <c r="AKN120" s="0"/>
      <c r="AKO120" s="0"/>
      <c r="AKP120" s="0"/>
      <c r="AKQ120" s="0"/>
      <c r="AKR120" s="0"/>
      <c r="AKS120" s="0"/>
      <c r="AKT120" s="0"/>
      <c r="AKU120" s="0"/>
      <c r="AKV120" s="0"/>
      <c r="AKW120" s="0"/>
      <c r="AKX120" s="0"/>
      <c r="AKY120" s="0"/>
      <c r="AKZ120" s="0"/>
      <c r="ALA120" s="0"/>
      <c r="ALB120" s="0"/>
      <c r="ALC120" s="0"/>
      <c r="ALD120" s="0"/>
      <c r="ALE120" s="0"/>
      <c r="ALF120" s="0"/>
      <c r="ALG120" s="0"/>
      <c r="ALH120" s="0"/>
      <c r="ALI120" s="0"/>
      <c r="ALJ120" s="0"/>
      <c r="ALK120" s="0"/>
      <c r="ALL120" s="0"/>
      <c r="ALM120" s="0"/>
      <c r="ALN120" s="0"/>
      <c r="ALO120" s="0"/>
      <c r="ALP120" s="0"/>
      <c r="ALQ120" s="0"/>
      <c r="ALR120" s="0"/>
      <c r="ALS120" s="0"/>
      <c r="ALT120" s="0"/>
      <c r="ALU120" s="0"/>
      <c r="ALV120" s="0"/>
      <c r="ALW120" s="0"/>
      <c r="ALX120" s="0"/>
      <c r="ALY120" s="0"/>
      <c r="ALZ120" s="0"/>
      <c r="AMA120" s="0"/>
      <c r="AMB120" s="0"/>
      <c r="AMC120" s="0"/>
      <c r="AMD120" s="0"/>
      <c r="AME120" s="0"/>
      <c r="AMF120" s="0"/>
      <c r="AMG120" s="0"/>
      <c r="AMH120" s="0"/>
      <c r="AMI120" s="0"/>
      <c r="AMJ120" s="0"/>
    </row>
    <row r="121" s="9" customFormat="true" ht="11.6" hidden="false" customHeight="true" outlineLevel="0" collapsed="false">
      <c r="A121" s="52"/>
      <c r="B121" s="106"/>
      <c r="C121" s="39" t="s">
        <v>281</v>
      </c>
      <c r="D121" s="107" t="n">
        <f aca="false">D111/$D$3</f>
        <v>-55.7473053652611</v>
      </c>
      <c r="E121" s="39" t="s">
        <v>174</v>
      </c>
      <c r="F121" s="130"/>
      <c r="G121" s="172"/>
      <c r="H121" s="166" t="n">
        <f aca="false">D121/$D$125</f>
        <v>-0.0794896772409695</v>
      </c>
      <c r="AIS121" s="5"/>
      <c r="AIT121" s="5"/>
      <c r="AIU121" s="5"/>
      <c r="AIV121" s="5"/>
      <c r="AIW121" s="5"/>
      <c r="AIX121" s="5"/>
      <c r="AIY121" s="5"/>
      <c r="AIZ121" s="5"/>
      <c r="AJA121" s="5"/>
      <c r="AJB121" s="5"/>
      <c r="AJC121" s="5"/>
      <c r="AJD121" s="5"/>
      <c r="AJE121" s="5"/>
      <c r="AJF121" s="5"/>
      <c r="AJG121" s="5"/>
      <c r="AJH121" s="5"/>
      <c r="AJI121" s="5"/>
      <c r="AJJ121" s="5"/>
      <c r="AJK121" s="5"/>
      <c r="AJL121" s="5"/>
      <c r="AJM121" s="5"/>
      <c r="AJN121" s="5"/>
      <c r="AJO121" s="6"/>
      <c r="AJP121" s="6"/>
      <c r="AJQ121" s="6"/>
      <c r="AJR121" s="6"/>
      <c r="AJS121" s="6"/>
      <c r="AJT121" s="6"/>
      <c r="AJU121" s="6"/>
      <c r="AJV121" s="7"/>
      <c r="AJW121" s="7"/>
      <c r="AJX121" s="7"/>
      <c r="AJY121" s="7"/>
      <c r="AJZ121" s="7"/>
      <c r="AKA121" s="7"/>
      <c r="AKB121" s="7"/>
      <c r="AKC121" s="7"/>
      <c r="AKD121" s="7"/>
      <c r="AKE121" s="0"/>
      <c r="AKF121" s="0"/>
      <c r="AKG121" s="0"/>
      <c r="AKH121" s="0"/>
      <c r="AKI121" s="0"/>
      <c r="AKJ121" s="0"/>
      <c r="AKK121" s="0"/>
      <c r="AKL121" s="0"/>
      <c r="AKM121" s="0"/>
      <c r="AKN121" s="0"/>
      <c r="AKO121" s="0"/>
      <c r="AKP121" s="0"/>
      <c r="AKQ121" s="0"/>
      <c r="AKR121" s="0"/>
      <c r="AKS121" s="0"/>
      <c r="AKT121" s="0"/>
      <c r="AKU121" s="0"/>
      <c r="AKV121" s="0"/>
      <c r="AKW121" s="0"/>
      <c r="AKX121" s="0"/>
      <c r="AKY121" s="0"/>
      <c r="AKZ121" s="0"/>
      <c r="ALA121" s="0"/>
      <c r="ALB121" s="0"/>
      <c r="ALC121" s="0"/>
      <c r="ALD121" s="0"/>
      <c r="ALE121" s="0"/>
      <c r="ALF121" s="0"/>
      <c r="ALG121" s="0"/>
      <c r="ALH121" s="0"/>
      <c r="ALI121" s="0"/>
      <c r="ALJ121" s="0"/>
      <c r="ALK121" s="0"/>
      <c r="ALL121" s="0"/>
      <c r="ALM121" s="0"/>
      <c r="ALN121" s="0"/>
      <c r="ALO121" s="0"/>
      <c r="ALP121" s="0"/>
      <c r="ALQ121" s="0"/>
      <c r="ALR121" s="0"/>
      <c r="ALS121" s="0"/>
      <c r="ALT121" s="0"/>
      <c r="ALU121" s="0"/>
      <c r="ALV121" s="0"/>
      <c r="ALW121" s="0"/>
      <c r="ALX121" s="0"/>
      <c r="ALY121" s="0"/>
      <c r="ALZ121" s="0"/>
      <c r="AMA121" s="0"/>
      <c r="AMB121" s="0"/>
      <c r="AMC121" s="0"/>
      <c r="AMD121" s="0"/>
      <c r="AME121" s="0"/>
      <c r="AMF121" s="0"/>
      <c r="AMG121" s="0"/>
      <c r="AMH121" s="0"/>
      <c r="AMI121" s="0"/>
      <c r="AMJ121" s="0"/>
    </row>
    <row r="122" s="9" customFormat="true" ht="11.6" hidden="false" customHeight="true" outlineLevel="0" collapsed="false">
      <c r="A122" s="52"/>
      <c r="B122" s="106"/>
      <c r="C122" s="39" t="s">
        <v>282</v>
      </c>
      <c r="D122" s="107" t="n">
        <f aca="false">D112/$D$3</f>
        <v>28.3999688351165</v>
      </c>
      <c r="E122" s="39" t="s">
        <v>174</v>
      </c>
      <c r="F122" s="130"/>
      <c r="G122" s="172"/>
      <c r="H122" s="166" t="n">
        <f aca="false">D122/$D$125</f>
        <v>0.0404953089941414</v>
      </c>
      <c r="AIS122" s="5"/>
      <c r="AIT122" s="5"/>
      <c r="AIU122" s="5"/>
      <c r="AIV122" s="5"/>
      <c r="AIW122" s="5"/>
      <c r="AIX122" s="5"/>
      <c r="AIY122" s="5"/>
      <c r="AIZ122" s="5"/>
      <c r="AJA122" s="5"/>
      <c r="AJB122" s="5"/>
      <c r="AJC122" s="5"/>
      <c r="AJD122" s="5"/>
      <c r="AJE122" s="5"/>
      <c r="AJF122" s="5"/>
      <c r="AJG122" s="5"/>
      <c r="AJH122" s="5"/>
      <c r="AJI122" s="5"/>
      <c r="AJJ122" s="5"/>
      <c r="AJK122" s="5"/>
      <c r="AJL122" s="5"/>
      <c r="AJM122" s="5"/>
      <c r="AJN122" s="5"/>
      <c r="AJO122" s="6"/>
      <c r="AJP122" s="6"/>
      <c r="AJQ122" s="6"/>
      <c r="AJR122" s="6"/>
      <c r="AJS122" s="6"/>
      <c r="AJT122" s="6"/>
      <c r="AJU122" s="6"/>
      <c r="AJV122" s="7"/>
      <c r="AJW122" s="7"/>
      <c r="AJX122" s="7"/>
      <c r="AJY122" s="7"/>
      <c r="AJZ122" s="7"/>
      <c r="AKA122" s="7"/>
      <c r="AKB122" s="7"/>
      <c r="AKC122" s="7"/>
      <c r="AKD122" s="7"/>
      <c r="AKE122" s="0"/>
      <c r="AKF122" s="0"/>
      <c r="AKG122" s="0"/>
      <c r="AKH122" s="0"/>
      <c r="AKI122" s="0"/>
      <c r="AKJ122" s="0"/>
      <c r="AKK122" s="0"/>
      <c r="AKL122" s="0"/>
      <c r="AKM122" s="0"/>
      <c r="AKN122" s="0"/>
      <c r="AKO122" s="0"/>
      <c r="AKP122" s="0"/>
      <c r="AKQ122" s="0"/>
      <c r="AKR122" s="0"/>
      <c r="AKS122" s="0"/>
      <c r="AKT122" s="0"/>
      <c r="AKU122" s="0"/>
      <c r="AKV122" s="0"/>
      <c r="AKW122" s="0"/>
      <c r="AKX122" s="0"/>
      <c r="AKY122" s="0"/>
      <c r="AKZ122" s="0"/>
      <c r="ALA122" s="0"/>
      <c r="ALB122" s="0"/>
      <c r="ALC122" s="0"/>
      <c r="ALD122" s="0"/>
      <c r="ALE122" s="0"/>
      <c r="ALF122" s="0"/>
      <c r="ALG122" s="0"/>
      <c r="ALH122" s="0"/>
      <c r="ALI122" s="0"/>
      <c r="ALJ122" s="0"/>
      <c r="ALK122" s="0"/>
      <c r="ALL122" s="0"/>
      <c r="ALM122" s="0"/>
      <c r="ALN122" s="0"/>
      <c r="ALO122" s="0"/>
      <c r="ALP122" s="0"/>
      <c r="ALQ122" s="0"/>
      <c r="ALR122" s="0"/>
      <c r="ALS122" s="0"/>
      <c r="ALT122" s="0"/>
      <c r="ALU122" s="0"/>
      <c r="ALV122" s="0"/>
      <c r="ALW122" s="0"/>
      <c r="ALX122" s="0"/>
      <c r="ALY122" s="0"/>
      <c r="ALZ122" s="0"/>
      <c r="AMA122" s="0"/>
      <c r="AMB122" s="0"/>
      <c r="AMC122" s="0"/>
      <c r="AMD122" s="0"/>
      <c r="AME122" s="0"/>
      <c r="AMF122" s="0"/>
      <c r="AMG122" s="0"/>
      <c r="AMH122" s="0"/>
      <c r="AMI122" s="0"/>
      <c r="AMJ122" s="0"/>
    </row>
    <row r="123" customFormat="false" ht="11.6" hidden="false" customHeight="true" outlineLevel="0" collapsed="false">
      <c r="A123" s="173"/>
      <c r="B123" s="23"/>
      <c r="C123" s="42" t="s">
        <v>283</v>
      </c>
      <c r="D123" s="107" t="n">
        <f aca="false">D113/$D$3</f>
        <v>80</v>
      </c>
      <c r="E123" s="39" t="s">
        <v>174</v>
      </c>
      <c r="F123" s="130"/>
      <c r="G123" s="172"/>
      <c r="H123" s="166" t="n">
        <f aca="false">D123/$D$125</f>
        <v>0.11407141811809</v>
      </c>
    </row>
    <row r="124" customFormat="false" ht="11.6" hidden="false" customHeight="true" outlineLevel="0" collapsed="false">
      <c r="A124" s="174"/>
      <c r="B124" s="36" t="s">
        <v>274</v>
      </c>
      <c r="C124" s="155" t="s">
        <v>284</v>
      </c>
      <c r="D124" s="156" t="n">
        <f aca="false">SUM(D120:D123)</f>
        <v>85.9795597375071</v>
      </c>
      <c r="E124" s="155" t="s">
        <v>174</v>
      </c>
      <c r="F124" s="169"/>
      <c r="G124" s="170"/>
      <c r="H124" s="171" t="n">
        <f aca="false">D124/$D$125</f>
        <v>0.122597628855331</v>
      </c>
      <c r="AJV124" s="6"/>
      <c r="AJW124" s="6"/>
      <c r="AJX124" s="6"/>
      <c r="AJY124" s="6"/>
      <c r="AJZ124" s="6"/>
      <c r="AKA124" s="6"/>
      <c r="AKB124" s="6"/>
      <c r="AKC124" s="6"/>
    </row>
    <row r="125" customFormat="false" ht="11.6" hidden="false" customHeight="true" outlineLevel="0" collapsed="false">
      <c r="A125" s="175" t="s">
        <v>289</v>
      </c>
      <c r="B125" s="176"/>
      <c r="C125" s="177" t="s">
        <v>290</v>
      </c>
      <c r="D125" s="178" t="n">
        <f aca="false">D119+D124</f>
        <v>701.315029827905</v>
      </c>
      <c r="E125" s="177" t="s">
        <v>174</v>
      </c>
      <c r="F125" s="179"/>
      <c r="G125" s="175"/>
      <c r="H125" s="180"/>
    </row>
    <row r="126" customFormat="false" ht="11.6" hidden="false" customHeight="true" outlineLevel="0" collapsed="false">
      <c r="A126" s="177"/>
      <c r="B126" s="181"/>
      <c r="C126" s="177" t="s">
        <v>291</v>
      </c>
      <c r="D126" s="182" t="n">
        <f aca="false">D125/12</f>
        <v>58.4429191523254</v>
      </c>
      <c r="E126" s="177" t="s">
        <v>292</v>
      </c>
      <c r="F126" s="183"/>
      <c r="G126" s="184"/>
      <c r="H126" s="184"/>
    </row>
    <row r="127" customFormat="false" ht="11.6" hidden="false" customHeight="true" outlineLevel="0" collapsed="false">
      <c r="A127" s="177"/>
      <c r="B127" s="181"/>
      <c r="C127" s="177" t="s">
        <v>293</v>
      </c>
      <c r="D127" s="182" t="n">
        <f aca="false">D125*(1-D6/100)</f>
        <v>476.894220282976</v>
      </c>
      <c r="E127" s="177" t="s">
        <v>174</v>
      </c>
      <c r="F127" s="183"/>
      <c r="G127" s="184"/>
      <c r="H127" s="184"/>
    </row>
    <row r="128" customFormat="false" ht="11.6" hidden="false" customHeight="true" outlineLevel="0" collapsed="false">
      <c r="A128" s="177"/>
      <c r="B128" s="181"/>
      <c r="C128" s="177" t="s">
        <v>294</v>
      </c>
      <c r="D128" s="182" t="n">
        <f aca="false">D127/12</f>
        <v>39.7411850235813</v>
      </c>
      <c r="E128" s="177" t="s">
        <v>292</v>
      </c>
      <c r="F128" s="183"/>
      <c r="G128" s="184"/>
      <c r="H128" s="184"/>
    </row>
    <row r="129" s="9" customFormat="true" ht="11.6" hidden="false" customHeight="true" outlineLevel="0" collapsed="false">
      <c r="A129" s="185"/>
      <c r="B129" s="49"/>
      <c r="C129" s="186"/>
      <c r="D129" s="187"/>
      <c r="E129" s="186"/>
      <c r="F129" s="129"/>
      <c r="G129" s="39"/>
      <c r="H129" s="39"/>
      <c r="AJO129" s="97"/>
      <c r="AJP129" s="97"/>
      <c r="AJQ129" s="97"/>
      <c r="AJR129" s="97"/>
      <c r="AJS129" s="97"/>
      <c r="AJT129" s="97"/>
      <c r="AJU129" s="97"/>
      <c r="AJV129" s="7"/>
      <c r="AJW129" s="7"/>
      <c r="AJX129" s="7"/>
      <c r="AJY129" s="7"/>
      <c r="AJZ129" s="7"/>
      <c r="AKA129" s="7"/>
      <c r="AKB129" s="7"/>
      <c r="AKC129" s="7"/>
      <c r="AKD129" s="7"/>
      <c r="AKE129" s="0"/>
      <c r="AKF129" s="0"/>
      <c r="AKG129" s="0"/>
      <c r="AKH129" s="0"/>
      <c r="AKI129" s="0"/>
      <c r="AKJ129" s="0"/>
      <c r="AKK129" s="0"/>
      <c r="AKL129" s="0"/>
      <c r="AKM129" s="0"/>
      <c r="AKN129" s="0"/>
      <c r="AKO129" s="0"/>
      <c r="AKP129" s="0"/>
      <c r="AKQ129" s="0"/>
      <c r="AKR129" s="0"/>
      <c r="AKS129" s="0"/>
      <c r="AKT129" s="0"/>
      <c r="AKU129" s="0"/>
      <c r="AKV129" s="0"/>
      <c r="AKW129" s="0"/>
      <c r="AKX129" s="0"/>
      <c r="AKY129" s="0"/>
      <c r="AKZ129" s="0"/>
      <c r="ALA129" s="0"/>
      <c r="ALB129" s="0"/>
      <c r="ALC129" s="0"/>
      <c r="ALD129" s="0"/>
      <c r="ALE129" s="0"/>
      <c r="ALF129" s="0"/>
      <c r="ALG129" s="0"/>
      <c r="ALH129" s="0"/>
      <c r="ALI129" s="0"/>
      <c r="ALJ129" s="0"/>
      <c r="ALK129" s="0"/>
      <c r="ALL129" s="0"/>
      <c r="ALM129" s="0"/>
      <c r="ALN129" s="0"/>
      <c r="ALO129" s="0"/>
      <c r="ALP129" s="0"/>
      <c r="ALQ129" s="0"/>
      <c r="ALR129" s="0"/>
      <c r="ALS129" s="0"/>
      <c r="ALT129" s="0"/>
      <c r="ALU129" s="0"/>
      <c r="ALV129" s="0"/>
      <c r="ALW129" s="0"/>
      <c r="ALX129" s="0"/>
      <c r="ALY129" s="0"/>
      <c r="ALZ129" s="0"/>
      <c r="AMA129" s="0"/>
      <c r="AMB129" s="0"/>
      <c r="AMC129" s="0"/>
      <c r="AMD129" s="0"/>
      <c r="AME129" s="0"/>
      <c r="AMF129" s="0"/>
      <c r="AMG129" s="0"/>
      <c r="AMH129" s="0"/>
      <c r="AMI129" s="0"/>
      <c r="AMJ129" s="0"/>
    </row>
    <row r="130" customFormat="false" ht="11.6" hidden="false" customHeight="true" outlineLevel="0" collapsed="false">
      <c r="A130" s="188"/>
    </row>
    <row r="131" customFormat="false" ht="11.6" hidden="false" customHeight="true" outlineLevel="0" collapsed="false">
      <c r="A131" s="188"/>
    </row>
    <row r="132" customFormat="false" ht="11.6" hidden="false" customHeight="true" outlineLevel="0" collapsed="false">
      <c r="A132" s="188"/>
    </row>
    <row r="133" customFormat="false" ht="11.6" hidden="false" customHeight="true" outlineLevel="0" collapsed="false">
      <c r="A133" s="188"/>
    </row>
    <row r="134" customFormat="false" ht="11.6" hidden="false" customHeight="true" outlineLevel="0" collapsed="false">
      <c r="A134" s="188"/>
    </row>
    <row r="135" customFormat="false" ht="11.6" hidden="false" customHeight="true" outlineLevel="0" collapsed="false">
      <c r="A135" s="188"/>
    </row>
    <row r="136" customFormat="false" ht="11.6" hidden="false" customHeight="true" outlineLevel="0" collapsed="false">
      <c r="A136" s="188"/>
    </row>
    <row r="137" customFormat="false" ht="11.6" hidden="false" customHeight="true" outlineLevel="0" collapsed="false">
      <c r="A137" s="188"/>
    </row>
    <row r="138" customFormat="false" ht="11.6" hidden="false" customHeight="true" outlineLevel="0" collapsed="false">
      <c r="A138" s="188"/>
    </row>
    <row r="139" customFormat="false" ht="11.6" hidden="false" customHeight="true" outlineLevel="0" collapsed="false">
      <c r="A139" s="188"/>
    </row>
    <row r="140" customFormat="false" ht="11.6" hidden="false" customHeight="true" outlineLevel="0" collapsed="false">
      <c r="A140" s="188"/>
    </row>
    <row r="141" customFormat="false" ht="11.6" hidden="false" customHeight="true" outlineLevel="0" collapsed="false">
      <c r="A141" s="188"/>
    </row>
    <row r="142" customFormat="false" ht="11.6" hidden="false" customHeight="true" outlineLevel="0" collapsed="false">
      <c r="A142" s="188"/>
    </row>
    <row r="143" customFormat="false" ht="11.6" hidden="false" customHeight="true" outlineLevel="0" collapsed="false">
      <c r="A143" s="188"/>
    </row>
    <row r="144" customFormat="false" ht="11.6" hidden="false" customHeight="true" outlineLevel="0" collapsed="false">
      <c r="A144" s="188"/>
    </row>
    <row r="145" customFormat="false" ht="11.6" hidden="false" customHeight="true" outlineLevel="0" collapsed="false">
      <c r="A145" s="188"/>
    </row>
    <row r="146" customFormat="false" ht="11.6" hidden="false" customHeight="true" outlineLevel="0" collapsed="false">
      <c r="A146" s="188"/>
    </row>
    <row r="147" customFormat="false" ht="11.6" hidden="false" customHeight="true" outlineLevel="0" collapsed="false">
      <c r="A147" s="188"/>
    </row>
    <row r="148" customFormat="false" ht="11.6" hidden="false" customHeight="true" outlineLevel="0" collapsed="false">
      <c r="A148" s="188"/>
    </row>
    <row r="149" customFormat="false" ht="11.6" hidden="false" customHeight="true" outlineLevel="0" collapsed="false">
      <c r="A149" s="188"/>
    </row>
    <row r="150" customFormat="false" ht="11.6" hidden="false" customHeight="true" outlineLevel="0" collapsed="false">
      <c r="A150" s="188"/>
    </row>
    <row r="151" customFormat="false" ht="11.6" hidden="false" customHeight="true" outlineLevel="0" collapsed="false">
      <c r="A151" s="188"/>
    </row>
    <row r="152" customFormat="false" ht="11.6" hidden="false" customHeight="true" outlineLevel="0" collapsed="false">
      <c r="A152" s="188"/>
    </row>
    <row r="153" customFormat="false" ht="11.6" hidden="false" customHeight="true" outlineLevel="0" collapsed="false">
      <c r="A153" s="188"/>
    </row>
    <row r="154" customFormat="false" ht="11.6" hidden="false" customHeight="true" outlineLevel="0" collapsed="false">
      <c r="A154" s="188"/>
    </row>
    <row r="155" customFormat="false" ht="11.6" hidden="false" customHeight="true" outlineLevel="0" collapsed="false">
      <c r="A155" s="188"/>
    </row>
    <row r="156" customFormat="false" ht="11.6" hidden="false" customHeight="true" outlineLevel="0" collapsed="false">
      <c r="A156" s="188"/>
    </row>
    <row r="157" customFormat="false" ht="11.6" hidden="false" customHeight="true" outlineLevel="0" collapsed="false">
      <c r="A157" s="188"/>
    </row>
    <row r="158" customFormat="false" ht="11.6" hidden="false" customHeight="true" outlineLevel="0" collapsed="false">
      <c r="A158" s="188"/>
    </row>
    <row r="159" customFormat="false" ht="11.6" hidden="false" customHeight="true" outlineLevel="0" collapsed="false">
      <c r="A159" s="188"/>
    </row>
    <row r="160" customFormat="false" ht="11.6" hidden="false" customHeight="true" outlineLevel="0" collapsed="false">
      <c r="A160" s="188"/>
    </row>
    <row r="161" customFormat="false" ht="11.6" hidden="false" customHeight="true" outlineLevel="0" collapsed="false">
      <c r="A161" s="188"/>
    </row>
    <row r="162" customFormat="false" ht="11.6" hidden="false" customHeight="true" outlineLevel="0" collapsed="false">
      <c r="A162" s="188"/>
    </row>
    <row r="163" customFormat="false" ht="11.6" hidden="false" customHeight="true" outlineLevel="0" collapsed="false">
      <c r="A163" s="188"/>
    </row>
    <row r="164" customFormat="false" ht="11.6" hidden="false" customHeight="true" outlineLevel="0" collapsed="false">
      <c r="A164" s="188"/>
    </row>
    <row r="165" customFormat="false" ht="11.6" hidden="false" customHeight="true" outlineLevel="0" collapsed="false">
      <c r="A165" s="188"/>
    </row>
    <row r="166" customFormat="false" ht="11.6" hidden="false" customHeight="true" outlineLevel="0" collapsed="false">
      <c r="A166" s="188"/>
    </row>
    <row r="167" customFormat="false" ht="11.6" hidden="false" customHeight="true" outlineLevel="0" collapsed="false">
      <c r="A167" s="188"/>
    </row>
    <row r="168" customFormat="false" ht="11.6" hidden="false" customHeight="true" outlineLevel="0" collapsed="false">
      <c r="A168" s="188"/>
    </row>
    <row r="169" customFormat="false" ht="11.6" hidden="false" customHeight="true" outlineLevel="0" collapsed="false">
      <c r="A169" s="188"/>
    </row>
    <row r="170" customFormat="false" ht="11.6" hidden="false" customHeight="true" outlineLevel="0" collapsed="false">
      <c r="A170" s="188"/>
    </row>
    <row r="171" customFormat="false" ht="11.6" hidden="false" customHeight="true" outlineLevel="0" collapsed="false">
      <c r="A171" s="188"/>
    </row>
    <row r="172" customFormat="false" ht="11.6" hidden="false" customHeight="true" outlineLevel="0" collapsed="false">
      <c r="A172" s="188"/>
    </row>
    <row r="173" customFormat="false" ht="11.6" hidden="false" customHeight="true" outlineLevel="0" collapsed="false">
      <c r="A173" s="188"/>
    </row>
    <row r="174" customFormat="false" ht="11.6" hidden="false" customHeight="true" outlineLevel="0" collapsed="false">
      <c r="A174" s="188"/>
    </row>
    <row r="175" customFormat="false" ht="11.6" hidden="false" customHeight="true" outlineLevel="0" collapsed="false">
      <c r="A175" s="188"/>
    </row>
    <row r="176" customFormat="false" ht="11.6" hidden="false" customHeight="true" outlineLevel="0" collapsed="false">
      <c r="A176" s="188"/>
    </row>
    <row r="177" customFormat="false" ht="11.6" hidden="false" customHeight="true" outlineLevel="0" collapsed="false">
      <c r="A177" s="188"/>
    </row>
    <row r="178" customFormat="false" ht="11.6" hidden="false" customHeight="true" outlineLevel="0" collapsed="false">
      <c r="A178" s="188"/>
    </row>
    <row r="179" customFormat="false" ht="11.6" hidden="false" customHeight="true" outlineLevel="0" collapsed="false">
      <c r="A179" s="188"/>
    </row>
    <row r="180" customFormat="false" ht="11.6" hidden="false" customHeight="true" outlineLevel="0" collapsed="false">
      <c r="A180" s="188"/>
    </row>
    <row r="181" customFormat="false" ht="11.6" hidden="false" customHeight="true" outlineLevel="0" collapsed="false">
      <c r="A181" s="188"/>
    </row>
    <row r="182" customFormat="false" ht="11.6" hidden="false" customHeight="true" outlineLevel="0" collapsed="false">
      <c r="A182" s="188"/>
    </row>
    <row r="183" customFormat="false" ht="11.6" hidden="false" customHeight="true" outlineLevel="0" collapsed="false">
      <c r="A183" s="188"/>
    </row>
    <row r="184" customFormat="false" ht="11.6" hidden="false" customHeight="true" outlineLevel="0" collapsed="false">
      <c r="A184" s="188"/>
    </row>
    <row r="185" customFormat="false" ht="11.6" hidden="false" customHeight="true" outlineLevel="0" collapsed="false">
      <c r="A185" s="188"/>
    </row>
    <row r="186" customFormat="false" ht="11.6" hidden="false" customHeight="true" outlineLevel="0" collapsed="false">
      <c r="A186" s="188"/>
    </row>
    <row r="187" customFormat="false" ht="11.6" hidden="false" customHeight="true" outlineLevel="0" collapsed="false">
      <c r="A187" s="188"/>
    </row>
    <row r="188" customFormat="false" ht="11.6" hidden="false" customHeight="true" outlineLevel="0" collapsed="false">
      <c r="A188" s="188"/>
    </row>
    <row r="189" customFormat="false" ht="11.6" hidden="false" customHeight="true" outlineLevel="0" collapsed="false">
      <c r="A189" s="188"/>
    </row>
    <row r="190" customFormat="false" ht="11.6" hidden="false" customHeight="true" outlineLevel="0" collapsed="false">
      <c r="A190" s="188"/>
    </row>
    <row r="191" customFormat="false" ht="11.6" hidden="false" customHeight="true" outlineLevel="0" collapsed="false">
      <c r="A191" s="188"/>
    </row>
    <row r="192" customFormat="false" ht="11.6" hidden="false" customHeight="true" outlineLevel="0" collapsed="false">
      <c r="A192" s="188"/>
    </row>
    <row r="193" customFormat="false" ht="11.6" hidden="false" customHeight="true" outlineLevel="0" collapsed="false">
      <c r="A193" s="188"/>
    </row>
    <row r="194" customFormat="false" ht="11.6" hidden="false" customHeight="true" outlineLevel="0" collapsed="false">
      <c r="A194" s="188"/>
    </row>
    <row r="195" customFormat="false" ht="11.6" hidden="false" customHeight="true" outlineLevel="0" collapsed="false">
      <c r="A195" s="188"/>
    </row>
    <row r="196" customFormat="false" ht="11.6" hidden="false" customHeight="true" outlineLevel="0" collapsed="false">
      <c r="A196" s="188"/>
    </row>
    <row r="197" customFormat="false" ht="11.6" hidden="false" customHeight="true" outlineLevel="0" collapsed="false">
      <c r="A197" s="188"/>
    </row>
    <row r="198" customFormat="false" ht="11.6" hidden="false" customHeight="true" outlineLevel="0" collapsed="false">
      <c r="A198" s="188"/>
    </row>
    <row r="199" customFormat="false" ht="11.6" hidden="false" customHeight="true" outlineLevel="0" collapsed="false">
      <c r="A199" s="188"/>
    </row>
    <row r="200" customFormat="false" ht="11.6" hidden="false" customHeight="true" outlineLevel="0" collapsed="false">
      <c r="A200" s="188"/>
    </row>
    <row r="201" customFormat="false" ht="11.6" hidden="false" customHeight="true" outlineLevel="0" collapsed="false">
      <c r="A201" s="188"/>
    </row>
    <row r="202" customFormat="false" ht="11.6" hidden="false" customHeight="true" outlineLevel="0" collapsed="false">
      <c r="A202" s="188"/>
    </row>
    <row r="203" customFormat="false" ht="11.6" hidden="false" customHeight="true" outlineLevel="0" collapsed="false">
      <c r="A203" s="188"/>
    </row>
    <row r="204" customFormat="false" ht="11.6" hidden="false" customHeight="true" outlineLevel="0" collapsed="false">
      <c r="A204" s="188"/>
    </row>
    <row r="205" customFormat="false" ht="11.6" hidden="false" customHeight="true" outlineLevel="0" collapsed="false">
      <c r="A205" s="188"/>
    </row>
    <row r="206" customFormat="false" ht="11.6" hidden="false" customHeight="true" outlineLevel="0" collapsed="false">
      <c r="A206" s="188"/>
    </row>
    <row r="207" customFormat="false" ht="11.6" hidden="false" customHeight="true" outlineLevel="0" collapsed="false">
      <c r="A207" s="188"/>
    </row>
    <row r="208" customFormat="false" ht="11.6" hidden="false" customHeight="true" outlineLevel="0" collapsed="false">
      <c r="A208" s="188"/>
    </row>
    <row r="209" customFormat="false" ht="11.6" hidden="false" customHeight="true" outlineLevel="0" collapsed="false">
      <c r="A209" s="188"/>
    </row>
    <row r="210" customFormat="false" ht="11.6" hidden="false" customHeight="true" outlineLevel="0" collapsed="false">
      <c r="A210" s="188"/>
    </row>
    <row r="211" customFormat="false" ht="11.6" hidden="false" customHeight="true" outlineLevel="0" collapsed="false">
      <c r="A211" s="188"/>
    </row>
    <row r="212" customFormat="false" ht="11.6" hidden="false" customHeight="true" outlineLevel="0" collapsed="false">
      <c r="A212" s="188"/>
    </row>
    <row r="213" customFormat="false" ht="11.6" hidden="false" customHeight="true" outlineLevel="0" collapsed="false">
      <c r="A213" s="188"/>
    </row>
    <row r="214" customFormat="false" ht="11.6" hidden="false" customHeight="true" outlineLevel="0" collapsed="false">
      <c r="A214" s="188"/>
    </row>
    <row r="215" customFormat="false" ht="11.6" hidden="false" customHeight="true" outlineLevel="0" collapsed="false">
      <c r="A215" s="188"/>
    </row>
    <row r="216" customFormat="false" ht="11.6" hidden="false" customHeight="true" outlineLevel="0" collapsed="false">
      <c r="A216" s="188"/>
    </row>
    <row r="217" customFormat="false" ht="11.6" hidden="false" customHeight="true" outlineLevel="0" collapsed="false">
      <c r="A217" s="188"/>
    </row>
    <row r="218" customFormat="false" ht="11.6" hidden="false" customHeight="true" outlineLevel="0" collapsed="false">
      <c r="A218" s="188"/>
    </row>
    <row r="219" customFormat="false" ht="11.6" hidden="false" customHeight="true" outlineLevel="0" collapsed="false">
      <c r="A219" s="188"/>
    </row>
    <row r="220" customFormat="false" ht="11.6" hidden="false" customHeight="true" outlineLevel="0" collapsed="false">
      <c r="A220" s="188"/>
    </row>
    <row r="221" customFormat="false" ht="11.6" hidden="false" customHeight="true" outlineLevel="0" collapsed="false">
      <c r="A221" s="188"/>
    </row>
    <row r="222" customFormat="false" ht="11.6" hidden="false" customHeight="true" outlineLevel="0" collapsed="false">
      <c r="A222" s="188"/>
    </row>
    <row r="223" customFormat="false" ht="11.6" hidden="false" customHeight="true" outlineLevel="0" collapsed="false">
      <c r="A223" s="188"/>
    </row>
    <row r="224" customFormat="false" ht="11.6" hidden="false" customHeight="true" outlineLevel="0" collapsed="false">
      <c r="A224" s="188"/>
    </row>
    <row r="225" customFormat="false" ht="11.6" hidden="false" customHeight="true" outlineLevel="0" collapsed="false">
      <c r="A225" s="188"/>
    </row>
    <row r="226" customFormat="false" ht="11.6" hidden="false" customHeight="true" outlineLevel="0" collapsed="false">
      <c r="A226" s="188"/>
    </row>
    <row r="227" customFormat="false" ht="11.6" hidden="false" customHeight="true" outlineLevel="0" collapsed="false">
      <c r="A227" s="188"/>
    </row>
    <row r="228" customFormat="false" ht="11.6" hidden="false" customHeight="true" outlineLevel="0" collapsed="false">
      <c r="A228" s="188"/>
    </row>
    <row r="229" customFormat="false" ht="11.6" hidden="false" customHeight="true" outlineLevel="0" collapsed="false">
      <c r="A229" s="188"/>
    </row>
    <row r="230" customFormat="false" ht="11.6" hidden="false" customHeight="true" outlineLevel="0" collapsed="false">
      <c r="A230" s="188"/>
    </row>
    <row r="231" customFormat="false" ht="11.6" hidden="false" customHeight="true" outlineLevel="0" collapsed="false">
      <c r="A231" s="188"/>
    </row>
    <row r="232" customFormat="false" ht="11.6" hidden="false" customHeight="true" outlineLevel="0" collapsed="false">
      <c r="A232" s="188"/>
    </row>
    <row r="233" customFormat="false" ht="11.6" hidden="false" customHeight="true" outlineLevel="0" collapsed="false">
      <c r="A233" s="188"/>
    </row>
    <row r="234" customFormat="false" ht="11.6" hidden="false" customHeight="true" outlineLevel="0" collapsed="false">
      <c r="A234" s="188"/>
    </row>
    <row r="235" customFormat="false" ht="11.6" hidden="false" customHeight="true" outlineLevel="0" collapsed="false">
      <c r="A235" s="188"/>
    </row>
    <row r="236" customFormat="false" ht="11.6" hidden="false" customHeight="true" outlineLevel="0" collapsed="false">
      <c r="A236" s="188"/>
    </row>
    <row r="237" customFormat="false" ht="11.6" hidden="false" customHeight="true" outlineLevel="0" collapsed="false">
      <c r="A237" s="188"/>
    </row>
    <row r="238" customFormat="false" ht="11.6" hidden="false" customHeight="true" outlineLevel="0" collapsed="false">
      <c r="A238" s="188"/>
    </row>
    <row r="239" customFormat="false" ht="11.6" hidden="false" customHeight="true" outlineLevel="0" collapsed="false">
      <c r="A239" s="188"/>
    </row>
    <row r="240" customFormat="false" ht="11.6" hidden="false" customHeight="true" outlineLevel="0" collapsed="false">
      <c r="A240" s="188"/>
    </row>
    <row r="241" customFormat="false" ht="11.6" hidden="false" customHeight="true" outlineLevel="0" collapsed="false">
      <c r="A241" s="188"/>
    </row>
    <row r="242" customFormat="false" ht="11.6" hidden="false" customHeight="true" outlineLevel="0" collapsed="false">
      <c r="A242" s="188"/>
    </row>
    <row r="243" customFormat="false" ht="11.6" hidden="false" customHeight="true" outlineLevel="0" collapsed="false">
      <c r="A243" s="188"/>
    </row>
    <row r="244" customFormat="false" ht="11.6" hidden="false" customHeight="true" outlineLevel="0" collapsed="false">
      <c r="A244" s="188"/>
    </row>
    <row r="245" customFormat="false" ht="11.6" hidden="false" customHeight="true" outlineLevel="0" collapsed="false">
      <c r="A245" s="188"/>
    </row>
    <row r="246" customFormat="false" ht="11.6" hidden="false" customHeight="true" outlineLevel="0" collapsed="false">
      <c r="A246" s="188"/>
    </row>
    <row r="247" customFormat="false" ht="11.6" hidden="false" customHeight="true" outlineLevel="0" collapsed="false">
      <c r="A247" s="188"/>
    </row>
    <row r="248" customFormat="false" ht="11.6" hidden="false" customHeight="true" outlineLevel="0" collapsed="false">
      <c r="A248" s="188"/>
    </row>
    <row r="249" customFormat="false" ht="11.6" hidden="false" customHeight="true" outlineLevel="0" collapsed="false">
      <c r="A249" s="188"/>
    </row>
    <row r="250" customFormat="false" ht="11.6" hidden="false" customHeight="true" outlineLevel="0" collapsed="false">
      <c r="A250" s="188"/>
    </row>
    <row r="251" customFormat="false" ht="11.6" hidden="false" customHeight="true" outlineLevel="0" collapsed="false">
      <c r="A251" s="188"/>
    </row>
    <row r="252" customFormat="false" ht="11.6" hidden="false" customHeight="true" outlineLevel="0" collapsed="false">
      <c r="A252" s="188"/>
    </row>
    <row r="253" customFormat="false" ht="11.6" hidden="false" customHeight="true" outlineLevel="0" collapsed="false">
      <c r="A253" s="188"/>
    </row>
    <row r="254" customFormat="false" ht="11.6" hidden="false" customHeight="true" outlineLevel="0" collapsed="false">
      <c r="A254" s="188"/>
    </row>
    <row r="255" customFormat="false" ht="11.6" hidden="false" customHeight="true" outlineLevel="0" collapsed="false">
      <c r="A255" s="188"/>
    </row>
    <row r="256" customFormat="false" ht="11.6" hidden="false" customHeight="true" outlineLevel="0" collapsed="false">
      <c r="A256" s="188"/>
    </row>
    <row r="257" customFormat="false" ht="11.6" hidden="false" customHeight="true" outlineLevel="0" collapsed="false">
      <c r="A257" s="188"/>
    </row>
    <row r="258" customFormat="false" ht="11.6" hidden="false" customHeight="true" outlineLevel="0" collapsed="false">
      <c r="A258" s="188"/>
    </row>
    <row r="259" customFormat="false" ht="11.6" hidden="false" customHeight="true" outlineLevel="0" collapsed="false">
      <c r="A259" s="188"/>
    </row>
    <row r="260" customFormat="false" ht="11.6" hidden="false" customHeight="true" outlineLevel="0" collapsed="false">
      <c r="A260" s="188"/>
    </row>
    <row r="261" customFormat="false" ht="11.6" hidden="false" customHeight="true" outlineLevel="0" collapsed="false">
      <c r="A261" s="188"/>
    </row>
    <row r="262" customFormat="false" ht="11.6" hidden="false" customHeight="true" outlineLevel="0" collapsed="false">
      <c r="A262" s="188"/>
    </row>
    <row r="263" customFormat="false" ht="11.6" hidden="false" customHeight="true" outlineLevel="0" collapsed="false">
      <c r="A263" s="188"/>
    </row>
    <row r="264" customFormat="false" ht="11.6" hidden="false" customHeight="true" outlineLevel="0" collapsed="false">
      <c r="A264" s="188"/>
    </row>
    <row r="265" customFormat="false" ht="11.6" hidden="false" customHeight="true" outlineLevel="0" collapsed="false">
      <c r="A265" s="188"/>
    </row>
    <row r="266" customFormat="false" ht="11.6" hidden="false" customHeight="true" outlineLevel="0" collapsed="false">
      <c r="A266" s="188"/>
    </row>
    <row r="267" customFormat="false" ht="11.6" hidden="false" customHeight="true" outlineLevel="0" collapsed="false">
      <c r="A267" s="188"/>
    </row>
    <row r="268" customFormat="false" ht="11.6" hidden="false" customHeight="true" outlineLevel="0" collapsed="false">
      <c r="A268" s="188"/>
    </row>
    <row r="269" customFormat="false" ht="11.6" hidden="false" customHeight="true" outlineLevel="0" collapsed="false">
      <c r="A269" s="188"/>
    </row>
    <row r="270" customFormat="false" ht="11.6" hidden="false" customHeight="true" outlineLevel="0" collapsed="false">
      <c r="A270" s="188"/>
    </row>
    <row r="271" customFormat="false" ht="11.6" hidden="false" customHeight="true" outlineLevel="0" collapsed="false">
      <c r="A271" s="188"/>
    </row>
    <row r="272" customFormat="false" ht="11.6" hidden="false" customHeight="true" outlineLevel="0" collapsed="false">
      <c r="A272" s="188"/>
    </row>
    <row r="273" customFormat="false" ht="11.6" hidden="false" customHeight="true" outlineLevel="0" collapsed="false">
      <c r="A273" s="188"/>
    </row>
    <row r="274" customFormat="false" ht="11.6" hidden="false" customHeight="true" outlineLevel="0" collapsed="false">
      <c r="A274" s="188"/>
    </row>
    <row r="275" customFormat="false" ht="11.6" hidden="false" customHeight="true" outlineLevel="0" collapsed="false">
      <c r="A275" s="188"/>
    </row>
    <row r="276" customFormat="false" ht="11.6" hidden="false" customHeight="true" outlineLevel="0" collapsed="false">
      <c r="A276" s="188"/>
    </row>
    <row r="277" customFormat="false" ht="11.6" hidden="false" customHeight="true" outlineLevel="0" collapsed="false">
      <c r="A277" s="188"/>
    </row>
    <row r="278" customFormat="false" ht="11.6" hidden="false" customHeight="true" outlineLevel="0" collapsed="false">
      <c r="A278" s="188"/>
    </row>
    <row r="279" customFormat="false" ht="11.6" hidden="false" customHeight="true" outlineLevel="0" collapsed="false">
      <c r="A279" s="188"/>
    </row>
    <row r="280" customFormat="false" ht="11.6" hidden="false" customHeight="true" outlineLevel="0" collapsed="false">
      <c r="A280" s="188"/>
    </row>
    <row r="281" customFormat="false" ht="11.6" hidden="false" customHeight="true" outlineLevel="0" collapsed="false">
      <c r="A281" s="188"/>
    </row>
    <row r="282" customFormat="false" ht="11.6" hidden="false" customHeight="true" outlineLevel="0" collapsed="false">
      <c r="A282" s="188"/>
    </row>
    <row r="283" customFormat="false" ht="11.6" hidden="false" customHeight="true" outlineLevel="0" collapsed="false">
      <c r="A283" s="188"/>
    </row>
    <row r="284" customFormat="false" ht="11.6" hidden="false" customHeight="true" outlineLevel="0" collapsed="false">
      <c r="A284" s="188"/>
    </row>
    <row r="285" customFormat="false" ht="11.6" hidden="false" customHeight="true" outlineLevel="0" collapsed="false">
      <c r="A285" s="188"/>
    </row>
    <row r="286" customFormat="false" ht="11.6" hidden="false" customHeight="true" outlineLevel="0" collapsed="false">
      <c r="A286" s="188"/>
    </row>
    <row r="287" customFormat="false" ht="11.6" hidden="false" customHeight="true" outlineLevel="0" collapsed="false">
      <c r="A287" s="188"/>
    </row>
    <row r="288" customFormat="false" ht="11.6" hidden="false" customHeight="true" outlineLevel="0" collapsed="false">
      <c r="A288" s="188"/>
    </row>
    <row r="289" customFormat="false" ht="11.6" hidden="false" customHeight="true" outlineLevel="0" collapsed="false">
      <c r="A289" s="188"/>
    </row>
    <row r="290" customFormat="false" ht="11.6" hidden="false" customHeight="true" outlineLevel="0" collapsed="false">
      <c r="A290" s="188"/>
    </row>
    <row r="291" customFormat="false" ht="11.6" hidden="false" customHeight="true" outlineLevel="0" collapsed="false">
      <c r="A291" s="188"/>
    </row>
    <row r="292" customFormat="false" ht="11.6" hidden="false" customHeight="true" outlineLevel="0" collapsed="false">
      <c r="A292" s="188"/>
    </row>
    <row r="293" customFormat="false" ht="11.6" hidden="false" customHeight="true" outlineLevel="0" collapsed="false">
      <c r="A293" s="188"/>
    </row>
    <row r="294" customFormat="false" ht="11.6" hidden="false" customHeight="true" outlineLevel="0" collapsed="false">
      <c r="A294" s="188"/>
    </row>
    <row r="295" customFormat="false" ht="11.6" hidden="false" customHeight="true" outlineLevel="0" collapsed="false">
      <c r="A295" s="188"/>
    </row>
    <row r="296" customFormat="false" ht="11.6" hidden="false" customHeight="true" outlineLevel="0" collapsed="false">
      <c r="A296" s="188"/>
    </row>
    <row r="297" customFormat="false" ht="11.6" hidden="false" customHeight="true" outlineLevel="0" collapsed="false">
      <c r="A297" s="188"/>
    </row>
    <row r="298" customFormat="false" ht="11.6" hidden="false" customHeight="true" outlineLevel="0" collapsed="false">
      <c r="A298" s="188"/>
    </row>
    <row r="299" customFormat="false" ht="11.6" hidden="false" customHeight="true" outlineLevel="0" collapsed="false">
      <c r="A299" s="188"/>
    </row>
    <row r="300" customFormat="false" ht="11.6" hidden="false" customHeight="true" outlineLevel="0" collapsed="false">
      <c r="A300" s="188"/>
    </row>
    <row r="301" customFormat="false" ht="11.6" hidden="false" customHeight="true" outlineLevel="0" collapsed="false">
      <c r="A301" s="188"/>
    </row>
    <row r="302" customFormat="false" ht="11.6" hidden="false" customHeight="true" outlineLevel="0" collapsed="false">
      <c r="A302" s="188"/>
    </row>
    <row r="303" customFormat="false" ht="11.6" hidden="false" customHeight="true" outlineLevel="0" collapsed="false">
      <c r="A303" s="188"/>
    </row>
    <row r="304" customFormat="false" ht="11.6" hidden="false" customHeight="true" outlineLevel="0" collapsed="false">
      <c r="A304" s="188"/>
    </row>
    <row r="305" customFormat="false" ht="11.6" hidden="false" customHeight="true" outlineLevel="0" collapsed="false">
      <c r="A305" s="188"/>
    </row>
    <row r="306" customFormat="false" ht="11.6" hidden="false" customHeight="true" outlineLevel="0" collapsed="false">
      <c r="A306" s="188"/>
    </row>
    <row r="307" customFormat="false" ht="11.6" hidden="false" customHeight="true" outlineLevel="0" collapsed="false">
      <c r="A307" s="188"/>
    </row>
    <row r="308" customFormat="false" ht="11.6" hidden="false" customHeight="true" outlineLevel="0" collapsed="false">
      <c r="A308" s="188"/>
    </row>
    <row r="309" customFormat="false" ht="11.6" hidden="false" customHeight="true" outlineLevel="0" collapsed="false">
      <c r="A309" s="188"/>
    </row>
    <row r="310" customFormat="false" ht="11.6" hidden="false" customHeight="true" outlineLevel="0" collapsed="false">
      <c r="A310" s="188"/>
    </row>
    <row r="311" customFormat="false" ht="11.6" hidden="false" customHeight="true" outlineLevel="0" collapsed="false">
      <c r="A311" s="188"/>
    </row>
    <row r="312" customFormat="false" ht="11.6" hidden="false" customHeight="true" outlineLevel="0" collapsed="false">
      <c r="A312" s="188"/>
    </row>
    <row r="313" customFormat="false" ht="11.6" hidden="false" customHeight="true" outlineLevel="0" collapsed="false">
      <c r="A313" s="188"/>
    </row>
    <row r="314" customFormat="false" ht="11.6" hidden="false" customHeight="true" outlineLevel="0" collapsed="false">
      <c r="A314" s="188"/>
    </row>
    <row r="315" customFormat="false" ht="11.6" hidden="false" customHeight="true" outlineLevel="0" collapsed="false">
      <c r="A315" s="188"/>
    </row>
    <row r="316" customFormat="false" ht="11.6" hidden="false" customHeight="true" outlineLevel="0" collapsed="false">
      <c r="A316" s="188"/>
    </row>
    <row r="317" customFormat="false" ht="11.6" hidden="false" customHeight="true" outlineLevel="0" collapsed="false">
      <c r="A317" s="188"/>
    </row>
    <row r="318" customFormat="false" ht="11.6" hidden="false" customHeight="true" outlineLevel="0" collapsed="false">
      <c r="A318" s="188"/>
    </row>
    <row r="319" customFormat="false" ht="11.6" hidden="false" customHeight="true" outlineLevel="0" collapsed="false">
      <c r="A319" s="188"/>
    </row>
    <row r="320" customFormat="false" ht="11.6" hidden="false" customHeight="true" outlineLevel="0" collapsed="false">
      <c r="A320" s="188"/>
    </row>
    <row r="321" customFormat="false" ht="11.6" hidden="false" customHeight="true" outlineLevel="0" collapsed="false">
      <c r="A321" s="188"/>
    </row>
    <row r="322" customFormat="false" ht="11.6" hidden="false" customHeight="true" outlineLevel="0" collapsed="false">
      <c r="A322" s="188"/>
    </row>
    <row r="323" customFormat="false" ht="11.6" hidden="false" customHeight="true" outlineLevel="0" collapsed="false">
      <c r="A323" s="188"/>
    </row>
    <row r="324" customFormat="false" ht="11.6" hidden="false" customHeight="true" outlineLevel="0" collapsed="false">
      <c r="A324" s="188"/>
    </row>
    <row r="325" customFormat="false" ht="11.6" hidden="false" customHeight="true" outlineLevel="0" collapsed="false">
      <c r="A325" s="188"/>
    </row>
    <row r="326" customFormat="false" ht="11.6" hidden="false" customHeight="true" outlineLevel="0" collapsed="false">
      <c r="A326" s="188"/>
    </row>
    <row r="327" customFormat="false" ht="11.6" hidden="false" customHeight="true" outlineLevel="0" collapsed="false">
      <c r="A327" s="188"/>
    </row>
    <row r="328" customFormat="false" ht="11.6" hidden="false" customHeight="true" outlineLevel="0" collapsed="false">
      <c r="A328" s="188"/>
    </row>
    <row r="329" customFormat="false" ht="11.6" hidden="false" customHeight="true" outlineLevel="0" collapsed="false">
      <c r="A329" s="188"/>
    </row>
    <row r="330" customFormat="false" ht="11.6" hidden="false" customHeight="true" outlineLevel="0" collapsed="false">
      <c r="A330" s="188"/>
    </row>
    <row r="331" customFormat="false" ht="11.6" hidden="false" customHeight="true" outlineLevel="0" collapsed="false">
      <c r="A331" s="188"/>
    </row>
    <row r="332" customFormat="false" ht="11.6" hidden="false" customHeight="true" outlineLevel="0" collapsed="false">
      <c r="A332" s="188"/>
    </row>
    <row r="333" customFormat="false" ht="11.6" hidden="false" customHeight="true" outlineLevel="0" collapsed="false">
      <c r="A333" s="188"/>
    </row>
    <row r="334" customFormat="false" ht="11.6" hidden="false" customHeight="true" outlineLevel="0" collapsed="false">
      <c r="A334" s="188"/>
    </row>
    <row r="335" customFormat="false" ht="11.6" hidden="false" customHeight="true" outlineLevel="0" collapsed="false">
      <c r="A335" s="188"/>
    </row>
    <row r="336" customFormat="false" ht="11.6" hidden="false" customHeight="true" outlineLevel="0" collapsed="false">
      <c r="A336" s="188"/>
    </row>
    <row r="337" customFormat="false" ht="11.6" hidden="false" customHeight="true" outlineLevel="0" collapsed="false">
      <c r="A337" s="188"/>
    </row>
    <row r="338" customFormat="false" ht="11.6" hidden="false" customHeight="true" outlineLevel="0" collapsed="false">
      <c r="A338" s="188"/>
    </row>
    <row r="339" customFormat="false" ht="11.6" hidden="false" customHeight="true" outlineLevel="0" collapsed="false">
      <c r="A339" s="188"/>
    </row>
    <row r="340" customFormat="false" ht="11.6" hidden="false" customHeight="true" outlineLevel="0" collapsed="false">
      <c r="A340" s="188"/>
    </row>
    <row r="341" customFormat="false" ht="11.6" hidden="false" customHeight="true" outlineLevel="0" collapsed="false">
      <c r="A341" s="188"/>
    </row>
    <row r="342" customFormat="false" ht="11.6" hidden="false" customHeight="true" outlineLevel="0" collapsed="false">
      <c r="A342" s="188"/>
    </row>
    <row r="343" customFormat="false" ht="11.6" hidden="false" customHeight="true" outlineLevel="0" collapsed="false">
      <c r="A343" s="188"/>
    </row>
    <row r="344" customFormat="false" ht="11.6" hidden="false" customHeight="true" outlineLevel="0" collapsed="false">
      <c r="A344" s="188"/>
    </row>
    <row r="345" customFormat="false" ht="11.6" hidden="false" customHeight="true" outlineLevel="0" collapsed="false">
      <c r="A345" s="188"/>
    </row>
    <row r="346" customFormat="false" ht="11.6" hidden="false" customHeight="true" outlineLevel="0" collapsed="false">
      <c r="A346" s="188"/>
    </row>
    <row r="347" customFormat="false" ht="11.6" hidden="false" customHeight="true" outlineLevel="0" collapsed="false">
      <c r="A347" s="188"/>
    </row>
    <row r="348" customFormat="false" ht="11.6" hidden="false" customHeight="true" outlineLevel="0" collapsed="false">
      <c r="A348" s="188"/>
    </row>
    <row r="349" customFormat="false" ht="11.6" hidden="false" customHeight="true" outlineLevel="0" collapsed="false">
      <c r="A349" s="188"/>
    </row>
    <row r="350" customFormat="false" ht="11.6" hidden="false" customHeight="true" outlineLevel="0" collapsed="false">
      <c r="A350" s="188"/>
    </row>
    <row r="351" customFormat="false" ht="11.6" hidden="false" customHeight="true" outlineLevel="0" collapsed="false">
      <c r="A351" s="188"/>
    </row>
    <row r="352" customFormat="false" ht="11.6" hidden="false" customHeight="true" outlineLevel="0" collapsed="false">
      <c r="A352" s="188"/>
    </row>
    <row r="353" customFormat="false" ht="11.6" hidden="false" customHeight="true" outlineLevel="0" collapsed="false">
      <c r="A353" s="188"/>
    </row>
    <row r="354" customFormat="false" ht="11.6" hidden="false" customHeight="true" outlineLevel="0" collapsed="false">
      <c r="A354" s="188"/>
    </row>
    <row r="355" customFormat="false" ht="11.6" hidden="false" customHeight="true" outlineLevel="0" collapsed="false">
      <c r="A355" s="188"/>
    </row>
    <row r="356" customFormat="false" ht="11.6" hidden="false" customHeight="true" outlineLevel="0" collapsed="false">
      <c r="A356" s="188"/>
    </row>
    <row r="357" customFormat="false" ht="11.6" hidden="false" customHeight="true" outlineLevel="0" collapsed="false">
      <c r="A357" s="188"/>
    </row>
    <row r="358" customFormat="false" ht="11.6" hidden="false" customHeight="true" outlineLevel="0" collapsed="false">
      <c r="A358" s="188"/>
    </row>
    <row r="359" customFormat="false" ht="11.6" hidden="false" customHeight="true" outlineLevel="0" collapsed="false">
      <c r="A359" s="188"/>
    </row>
    <row r="360" customFormat="false" ht="11.6" hidden="false" customHeight="true" outlineLevel="0" collapsed="false">
      <c r="A360" s="188"/>
    </row>
    <row r="361" customFormat="false" ht="11.6" hidden="false" customHeight="true" outlineLevel="0" collapsed="false">
      <c r="A361" s="188"/>
    </row>
    <row r="362" customFormat="false" ht="11.6" hidden="false" customHeight="true" outlineLevel="0" collapsed="false">
      <c r="A362" s="188"/>
    </row>
    <row r="363" customFormat="false" ht="11.6" hidden="false" customHeight="true" outlineLevel="0" collapsed="false">
      <c r="A363" s="188"/>
    </row>
    <row r="364" customFormat="false" ht="11.6" hidden="false" customHeight="true" outlineLevel="0" collapsed="false">
      <c r="A364" s="188"/>
    </row>
    <row r="365" customFormat="false" ht="11.6" hidden="false" customHeight="true" outlineLevel="0" collapsed="false">
      <c r="A365" s="188"/>
    </row>
    <row r="366" customFormat="false" ht="11.6" hidden="false" customHeight="true" outlineLevel="0" collapsed="false">
      <c r="A366" s="188"/>
    </row>
    <row r="367" customFormat="false" ht="11.6" hidden="false" customHeight="true" outlineLevel="0" collapsed="false">
      <c r="A367" s="188"/>
    </row>
    <row r="368" customFormat="false" ht="11.6" hidden="false" customHeight="true" outlineLevel="0" collapsed="false">
      <c r="A368" s="188"/>
    </row>
    <row r="369" customFormat="false" ht="11.6" hidden="false" customHeight="true" outlineLevel="0" collapsed="false">
      <c r="A369" s="188"/>
    </row>
    <row r="370" customFormat="false" ht="11.6" hidden="false" customHeight="true" outlineLevel="0" collapsed="false">
      <c r="A370" s="188"/>
    </row>
    <row r="371" customFormat="false" ht="11.6" hidden="false" customHeight="true" outlineLevel="0" collapsed="false">
      <c r="A371" s="188"/>
    </row>
    <row r="372" customFormat="false" ht="11.6" hidden="false" customHeight="true" outlineLevel="0" collapsed="false">
      <c r="A372" s="188"/>
    </row>
    <row r="373" customFormat="false" ht="11.6" hidden="false" customHeight="true" outlineLevel="0" collapsed="false">
      <c r="A373" s="188"/>
    </row>
    <row r="374" customFormat="false" ht="11.6" hidden="false" customHeight="true" outlineLevel="0" collapsed="false">
      <c r="A374" s="188"/>
    </row>
    <row r="375" customFormat="false" ht="11.6" hidden="false" customHeight="true" outlineLevel="0" collapsed="false">
      <c r="A375" s="188"/>
    </row>
    <row r="376" customFormat="false" ht="11.6" hidden="false" customHeight="true" outlineLevel="0" collapsed="false">
      <c r="A376" s="188"/>
    </row>
    <row r="377" customFormat="false" ht="11.6" hidden="false" customHeight="true" outlineLevel="0" collapsed="false">
      <c r="A377" s="188"/>
    </row>
    <row r="378" customFormat="false" ht="11.6" hidden="false" customHeight="true" outlineLevel="0" collapsed="false">
      <c r="A378" s="188"/>
    </row>
    <row r="379" customFormat="false" ht="11.6" hidden="false" customHeight="true" outlineLevel="0" collapsed="false">
      <c r="A379" s="188"/>
    </row>
    <row r="380" customFormat="false" ht="11.6" hidden="false" customHeight="true" outlineLevel="0" collapsed="false">
      <c r="A380" s="188"/>
    </row>
    <row r="381" customFormat="false" ht="11.6" hidden="false" customHeight="true" outlineLevel="0" collapsed="false">
      <c r="A381" s="188"/>
    </row>
    <row r="382" customFormat="false" ht="11.6" hidden="false" customHeight="true" outlineLevel="0" collapsed="false">
      <c r="A382" s="188"/>
    </row>
    <row r="383" customFormat="false" ht="11.6" hidden="false" customHeight="true" outlineLevel="0" collapsed="false">
      <c r="A383" s="188"/>
    </row>
    <row r="384" customFormat="false" ht="11.6" hidden="false" customHeight="true" outlineLevel="0" collapsed="false">
      <c r="A384" s="188"/>
    </row>
    <row r="385" customFormat="false" ht="11.6" hidden="false" customHeight="true" outlineLevel="0" collapsed="false">
      <c r="A385" s="188"/>
    </row>
    <row r="386" customFormat="false" ht="11.6" hidden="false" customHeight="true" outlineLevel="0" collapsed="false">
      <c r="A386" s="188"/>
    </row>
    <row r="387" customFormat="false" ht="11.6" hidden="false" customHeight="true" outlineLevel="0" collapsed="false">
      <c r="A387" s="188"/>
    </row>
    <row r="388" customFormat="false" ht="11.6" hidden="false" customHeight="true" outlineLevel="0" collapsed="false">
      <c r="A388" s="188"/>
    </row>
    <row r="389" customFormat="false" ht="11.6" hidden="false" customHeight="true" outlineLevel="0" collapsed="false">
      <c r="A389" s="188"/>
    </row>
    <row r="390" customFormat="false" ht="11.6" hidden="false" customHeight="true" outlineLevel="0" collapsed="false">
      <c r="A390" s="188"/>
    </row>
    <row r="391" customFormat="false" ht="11.6" hidden="false" customHeight="true" outlineLevel="0" collapsed="false">
      <c r="A391" s="188"/>
    </row>
    <row r="392" customFormat="false" ht="11.6" hidden="false" customHeight="true" outlineLevel="0" collapsed="false">
      <c r="A392" s="188"/>
    </row>
    <row r="393" customFormat="false" ht="11.6" hidden="false" customHeight="true" outlineLevel="0" collapsed="false">
      <c r="A393" s="188"/>
    </row>
    <row r="394" customFormat="false" ht="11.6" hidden="false" customHeight="true" outlineLevel="0" collapsed="false">
      <c r="A394" s="188"/>
    </row>
    <row r="395" customFormat="false" ht="11.6" hidden="false" customHeight="true" outlineLevel="0" collapsed="false">
      <c r="A395" s="188"/>
    </row>
    <row r="396" customFormat="false" ht="11.6" hidden="false" customHeight="true" outlineLevel="0" collapsed="false">
      <c r="A396" s="188"/>
    </row>
    <row r="397" customFormat="false" ht="11.6" hidden="false" customHeight="true" outlineLevel="0" collapsed="false">
      <c r="A397" s="188"/>
    </row>
    <row r="398" customFormat="false" ht="11.6" hidden="false" customHeight="true" outlineLevel="0" collapsed="false">
      <c r="A398" s="188"/>
    </row>
    <row r="399" customFormat="false" ht="11.6" hidden="false" customHeight="true" outlineLevel="0" collapsed="false">
      <c r="A399" s="188"/>
    </row>
    <row r="400" customFormat="false" ht="11.6" hidden="false" customHeight="true" outlineLevel="0" collapsed="false">
      <c r="A400" s="188"/>
    </row>
    <row r="401" customFormat="false" ht="11.6" hidden="false" customHeight="true" outlineLevel="0" collapsed="false">
      <c r="A401" s="188"/>
    </row>
    <row r="402" customFormat="false" ht="11.6" hidden="false" customHeight="true" outlineLevel="0" collapsed="false">
      <c r="A402" s="188"/>
    </row>
    <row r="403" customFormat="false" ht="11.6" hidden="false" customHeight="true" outlineLevel="0" collapsed="false">
      <c r="A403" s="188"/>
    </row>
    <row r="404" customFormat="false" ht="11.6" hidden="false" customHeight="true" outlineLevel="0" collapsed="false">
      <c r="A404" s="188"/>
    </row>
    <row r="405" customFormat="false" ht="11.6" hidden="false" customHeight="true" outlineLevel="0" collapsed="false">
      <c r="A405" s="188"/>
    </row>
    <row r="406" customFormat="false" ht="11.6" hidden="false" customHeight="true" outlineLevel="0" collapsed="false">
      <c r="A406" s="188"/>
    </row>
    <row r="407" customFormat="false" ht="11.6" hidden="false" customHeight="true" outlineLevel="0" collapsed="false">
      <c r="A407" s="188"/>
    </row>
    <row r="408" customFormat="false" ht="11.6" hidden="false" customHeight="true" outlineLevel="0" collapsed="false">
      <c r="A408" s="188"/>
    </row>
    <row r="409" customFormat="false" ht="11.6" hidden="false" customHeight="true" outlineLevel="0" collapsed="false">
      <c r="A409" s="188"/>
    </row>
    <row r="410" customFormat="false" ht="11.6" hidden="false" customHeight="true" outlineLevel="0" collapsed="false">
      <c r="A410" s="188"/>
    </row>
    <row r="411" customFormat="false" ht="11.6" hidden="false" customHeight="true" outlineLevel="0" collapsed="false">
      <c r="A411" s="188"/>
    </row>
    <row r="412" customFormat="false" ht="11.6" hidden="false" customHeight="true" outlineLevel="0" collapsed="false">
      <c r="A412" s="188"/>
    </row>
    <row r="413" customFormat="false" ht="11.6" hidden="false" customHeight="true" outlineLevel="0" collapsed="false">
      <c r="A413" s="188"/>
    </row>
    <row r="414" customFormat="false" ht="11.6" hidden="false" customHeight="true" outlineLevel="0" collapsed="false">
      <c r="A414" s="188"/>
    </row>
    <row r="415" customFormat="false" ht="11.6" hidden="false" customHeight="true" outlineLevel="0" collapsed="false">
      <c r="A415" s="188"/>
    </row>
    <row r="416" customFormat="false" ht="11.6" hidden="false" customHeight="true" outlineLevel="0" collapsed="false">
      <c r="A416" s="188"/>
    </row>
    <row r="417" customFormat="false" ht="11.6" hidden="false" customHeight="true" outlineLevel="0" collapsed="false">
      <c r="A417" s="188"/>
    </row>
    <row r="418" customFormat="false" ht="11.6" hidden="false" customHeight="true" outlineLevel="0" collapsed="false">
      <c r="A418" s="188"/>
    </row>
    <row r="419" customFormat="false" ht="11.6" hidden="false" customHeight="true" outlineLevel="0" collapsed="false">
      <c r="A419" s="188"/>
    </row>
    <row r="420" customFormat="false" ht="11.6" hidden="false" customHeight="true" outlineLevel="0" collapsed="false">
      <c r="A420" s="188"/>
    </row>
    <row r="421" customFormat="false" ht="11.6" hidden="false" customHeight="true" outlineLevel="0" collapsed="false">
      <c r="A421" s="188"/>
    </row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H1"/>
  </mergeCells>
  <hyperlinks>
    <hyperlink ref="G3" r:id="rId1" display="https://de.wikipedia.org/wiki/Cottbus"/>
    <hyperlink ref="G4" r:id="rId2" display="https://www.geoportal.de/map.html"/>
    <hyperlink ref="G5" r:id="rId3" display="32"/>
    <hyperlink ref="G6" r:id="rId4" display="https://www.dena.de/infocenter/dena-gebaeudereport-2024/"/>
    <hyperlink ref="G7" r:id="rId5" display="https://www.heizspiegel.de/fileadmin/hs/heizspiegel-2023/heizspiegel-2023-flyer.pdf"/>
    <hyperlink ref="G8" r:id="rId6" display="https://www.dena.de/fileadmin/dena/Dokumente/Pdf/9254_Gebaeudereport_dena_kompakt_2018.pdf"/>
    <hyperlink ref="G12" r:id="rId7" display="https://dme-consult.de/images/energiewende/forschungentwicklung/WEB-240301_LoCarDi_Grosswaermepumpen_in_der_Fernwaermeversorgung.pdf"/>
    <hyperlink ref="G15" r:id="rId8" display="https://heliogaia.de/t/zylindermodell007.ods"/>
    <hyperlink ref="G17" r:id="rId9" display="https://www.dwd.de/DE/leistungen/solarenergie/strahlungskarten_mvs.html?nn=16102"/>
    <hyperlink ref="G18" r:id="rId10" display="https://www.dwd.de/DE/leistungen/solarenergie/strahlungskarten_mvs.html?nn=16102"/>
    <hyperlink ref="G19" r:id="rId11" display="https://www.dwd.de/DE/leistungen/solarenergie/strahlungskarten_sum.html?nn=16102"/>
    <hyperlink ref="G20" r:id="rId12" display="https://solarkeymark.eu/database/"/>
    <hyperlink ref="G21" r:id="rId13" display="https://solarkeymark.eu/database/"/>
    <hyperlink ref="G24" r:id="rId14" display="https://heliogaia.de/k/CPC_XL1921.jpg"/>
    <hyperlink ref="H24" r:id="rId15" display="https://heliogaia.de/k/kollektorvergleich.pdf"/>
    <hyperlink ref="G25" r:id="rId16" display="https://heliogaia.de/k/Solimpeks_ALS_251.jpg"/>
    <hyperlink ref="H25" r:id="rId17" display="https://heliogaia.de/k/kollektorvergleich.pdf"/>
    <hyperlink ref="G26" r:id="rId18" display="https://www.solaranlagen-portal.de/solarenergie-komponenten/hybridkollektor-pvt-kollektor"/>
    <hyperlink ref="H26" r:id="rId19" display="https://www.solaranlage-ratgeber.de/solarthermie/solarthermie-wartung/lebensdauer-einer-solarthermieanlage"/>
    <hyperlink ref="G30" r:id="rId20" display="https://heliogaia.de/t/optimierung_kollektorertrag_2.ods"/>
    <hyperlink ref="G31" r:id="rId21" display="https://www.solaranlagen-portal.de/thermische-solaranlage/solarkollektor-preis.html"/>
    <hyperlink ref="G33" r:id="rId22" display="https://www.bodenrichtwerte-boris.de/boris-d/?lang=de"/>
    <hyperlink ref="G34" r:id="rId23" display="https://www.lgb-rlp.de/fileadmin/service/lgb_downloads/boden/boden_themenheft_vorsorgender/tvb6_2024.pdf"/>
    <hyperlink ref="G35" r:id="rId24" location="wleitf_isolierung" display="https://www.schweizer-fn.de/stoff/wleit_isolierung/wleit_isolierung.php#wleitf_isolierung"/>
    <hyperlink ref="G36" r:id="rId25" location="wleitf_isolierung" display="https://www.schweizer-fn.de/stoff/wleit_isolierung/wleit_isolierung.php#wleitf_isolierung"/>
    <hyperlink ref="G37" r:id="rId26" display="https://www.dwd.de/DE/leistungen/klimadatendeutschland/vielj_mittelwerte.html"/>
    <hyperlink ref="G42" r:id="rId27" location="accordion-1-3" display="https://www.straelen.de/rathaus-politik/dienstleistungen/wasserversorgung/wasserversorgung/#accordion-1-3"/>
    <hyperlink ref="G46" r:id="rId28" display="https://www.kesselheld.de/tiefenbohrung/"/>
    <hyperlink ref="G48" r:id="rId29" display="https://www.rheinwerke.de/files/FW-Schiene-Rheinland.pdf"/>
    <hyperlink ref="G49" r:id="rId30" display="https://www.borderstep.de/wp-content/uploads/2014/07/Clausen-Kosten_-laendliche_-Waermenetze-2012.pdf"/>
    <hyperlink ref="G50" r:id="rId31" display="https://www.borderstep.de/wp-content/uploads/2014/07/Clausen-Kosten_-laendliche_-Waermenetze-2012.pdf"/>
    <hyperlink ref="G51" r:id="rId32" display="https://nordictec-shop.eu/de/221-plattenwaermetauscher-waermeuebertragungsflaeche?resultsPerPage=99999"/>
    <hyperlink ref="G55" r:id="rId33" display="https://www.heizspiegel.de/heizkosten-senken/heizungswartung/"/>
    <hyperlink ref="H86" r:id="rId34" display="https://heliogaia.de/t/zylindermodell007.ods"/>
    <hyperlink ref="G88" r:id="rId35" display="https://heliogaia.de/t/zylindermodell007.ods"/>
    <hyperlink ref="H90" r:id="rId36" display="https://heliogaia.de/t/trassenlaenge_4.ods"/>
    <hyperlink ref="G110" r:id="rId37" display="https://www.stadtwerke.it/de/fernwaerme/fernwaerme/waermeverteilung/pumpstation.html"/>
  </hyperlinks>
  <printOptions headings="true" gridLines="true" gridLinesSet="true" horizontalCentered="true" verticalCentered="true"/>
  <pageMargins left="0.236111111111111" right="0.236111111111111" top="0.0784722222222222" bottom="0.254861111111111" header="0.511805555555555" footer="0.157638888888889"/>
  <pageSetup paperSize="9" scale="100" firstPageNumber="1" fitToWidth="1" fitToHeight="8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&amp;R&amp;7&amp;D &amp;T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21677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2019-03-02T07:48:59Z</dcterms:created>
  <dc:creator/>
  <dc:description/>
  <dc:language>de-DE</dc:language>
  <cp:lastModifiedBy/>
  <cp:lastPrinted>2024-05-05T11:00:30Z</cp:lastPrinted>
  <dcterms:modified xsi:type="dcterms:W3CDTF">2025-04-07T11:29:59Z</dcterms:modified>
  <cp:revision>458</cp:revision>
  <dc:subject/>
  <dc:title/>
</cp:coreProperties>
</file>